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120" yWindow="-120" windowWidth="23256" windowHeight="13176" tabRatio="886" firstSheet="15" activeTab="30"/>
  </bookViews>
  <sheets>
    <sheet name="modList00" sheetId="536" state="hidden" r:id="rId1"/>
    <sheet name="modHTTP" sheetId="539" state="hidden" r:id="rId2"/>
    <sheet name="modPreload" sheetId="540" state="hidden" r:id="rId3"/>
    <sheet name="modProvGeneralProc" sheetId="541" state="hidden" r:id="rId4"/>
    <sheet name="modReestr" sheetId="542" state="hidden" r:id="rId5"/>
    <sheet name="modList02" sheetId="543" state="hidden" r:id="rId6"/>
    <sheet name="modfrmReestrSource" sheetId="544" state="hidden" r:id="rId7"/>
    <sheet name="modProv" sheetId="545" state="hidden" r:id="rId8"/>
    <sheet name="Инструкция" sheetId="465" state="hidden" r:id="rId9"/>
    <sheet name="Лог обновления" sheetId="466" state="hidden" r:id="rId10"/>
    <sheet name="Пояснения" sheetId="505" state="hidden" r:id="rId11"/>
    <sheet name="Список листов" sheetId="524" state="hidden" r:id="rId12"/>
    <sheet name="Общие сведения" sheetId="488" r:id="rId13"/>
    <sheet name="Список территорий" sheetId="489" r:id="rId14"/>
    <sheet name="Список объектов" sheetId="490" r:id="rId15"/>
    <sheet name="Сценарии" sheetId="491" r:id="rId16"/>
    <sheet name="Баланс" sheetId="492" r:id="rId17"/>
    <sheet name="Реагенты" sheetId="493" r:id="rId18"/>
    <sheet name="ЭЭ" sheetId="494" r:id="rId19"/>
    <sheet name="Амортизация" sheetId="495" r:id="rId20"/>
    <sheet name="Аренда" sheetId="496" r:id="rId21"/>
    <sheet name="Покупка" sheetId="497" r:id="rId22"/>
    <sheet name="Налоги" sheetId="498" r:id="rId23"/>
    <sheet name="ИП + источники" sheetId="499" r:id="rId24"/>
    <sheet name="Экономия_корр" sheetId="500" r:id="rId25"/>
    <sheet name="Плата за негативное возд" sheetId="501" r:id="rId26"/>
    <sheet name="Корректировка НВВ" sheetId="502" r:id="rId27"/>
    <sheet name="Калькуляция" sheetId="503" r:id="rId28"/>
    <sheet name="et_union" sheetId="225" state="hidden" r:id="rId29"/>
    <sheet name="ТМ" sheetId="504" r:id="rId30"/>
    <sheet name="ДПР" sheetId="519" r:id="rId31"/>
    <sheet name="ДПР (концессии)" sheetId="522" r:id="rId32"/>
    <sheet name="TEHSHEET" sheetId="507" state="hidden" r:id="rId33"/>
    <sheet name="Комментарии" sheetId="449" r:id="rId34"/>
    <sheet name="Проверка" sheetId="450" state="hidden" r:id="rId35"/>
    <sheet name="REESTR_MO" sheetId="509" state="hidden" r:id="rId36"/>
    <sheet name="REESTR_ORG" sheetId="390" state="hidden" r:id="rId37"/>
    <sheet name="REESTR_TARIFF" sheetId="526" state="hidden" r:id="rId38"/>
    <sheet name="REESTR_OBJECT" sheetId="531" state="hidden" r:id="rId39"/>
    <sheet name="modfrmDPR" sheetId="533" state="hidden" r:id="rId40"/>
    <sheet name="modfrmSelectTemplate" sheetId="534" state="hidden" r:id="rId41"/>
    <sheet name="DICTIONARIES" sheetId="511" state="hidden" r:id="rId42"/>
    <sheet name="modfrmRegion" sheetId="485" state="hidden" r:id="rId43"/>
    <sheet name="modfrmSelectTariff" sheetId="527" state="hidden" r:id="rId44"/>
    <sheet name="modCheckCyan" sheetId="517" state="hidden" r:id="rId45"/>
    <sheet name="modfrmActivity" sheetId="510" state="hidden" r:id="rId46"/>
    <sheet name="modfrmCheckUpdates" sheetId="472" state="hidden" r:id="rId47"/>
    <sheet name="modUpdTemplMain" sheetId="473" state="hidden" r:id="rId48"/>
    <sheet name="modThisWorkbook" sheetId="474" state="hidden" r:id="rId49"/>
    <sheet name="modInstruction" sheetId="467" state="hidden" r:id="rId50"/>
    <sheet name="AllSheetsInThisWorkbook" sheetId="389" state="hidden" r:id="rId51"/>
    <sheet name="modHyp" sheetId="398" state="hidden" r:id="rId52"/>
    <sheet name="modfrmReestr" sheetId="451" state="hidden" r:id="rId53"/>
    <sheet name="modList01" sheetId="512" state="hidden" r:id="rId54"/>
    <sheet name="modList05" sheetId="514" state="hidden" r:id="rId55"/>
    <sheet name="modList06" sheetId="515" state="hidden" r:id="rId56"/>
    <sheet name="modList09" sheetId="516" state="hidden" r:id="rId57"/>
    <sheet name="modList10" sheetId="518" state="hidden" r:id="rId58"/>
    <sheet name="modList11" sheetId="525" state="hidden" r:id="rId59"/>
    <sheet name="modList16" sheetId="520" state="hidden" r:id="rId60"/>
    <sheet name="modList18" sheetId="523" state="hidden" r:id="rId61"/>
    <sheet name="modList15" sheetId="528" state="hidden" r:id="rId62"/>
    <sheet name="modList17" sheetId="530" state="hidden" r:id="rId63"/>
  </sheets>
  <definedNames>
    <definedName name="_xlnm._FilterDatabase" localSheetId="34"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dpr_list">DICTIONARIES!$C$2:$C$121</definedName>
    <definedName name="et_List00_fio">et_union!$42:$42</definedName>
    <definedName name="et_List00_go">et_union!$17:$17</definedName>
    <definedName name="et_List00_HAS_DOC2">et_union!$21:$25</definedName>
    <definedName name="et_List00_HAS_DOC3">et_union!$21:$25</definedName>
    <definedName name="et_List00_HAS_DOC4">et_union!$21:$25</definedName>
    <definedName name="et_List00_HAS_DOC5">et_union!$28:$33</definedName>
    <definedName name="et_List00_HAS_DOC6">et_union!$28:$33</definedName>
    <definedName name="et_List00_HAS_DOC7">et_union!$35:$40</definedName>
    <definedName name="et_List00_tariff">et_union!$3:$15</definedName>
    <definedName name="et_List01_mo">et_union!$50:$50</definedName>
    <definedName name="et_List01_tariff">et_union!$46:$48</definedName>
    <definedName name="et_List02_1">et_union!$72:$72</definedName>
    <definedName name="et_List02_obj">et_union!$70:$70</definedName>
    <definedName name="et_List02_tariff_vo">et_union!$63:$68</definedName>
    <definedName name="et_List02_tariff_vs">et_union!$54:$61</definedName>
    <definedName name="et_List03_tariff">et_union!$76:$93</definedName>
    <definedName name="et_List04_tariff_vo">et_union!$154:$181</definedName>
    <definedName name="et_List04_tariff_vo_transp">et_union!$183:$196</definedName>
    <definedName name="et_List04_tariff_vs">et_union!$97:$134</definedName>
    <definedName name="et_List04_tariff_vs_transp">et_union!$136:$152</definedName>
    <definedName name="et_List05_reagent">et_union!$205:$205</definedName>
    <definedName name="et_List05_tariff">et_union!$200:$203</definedName>
    <definedName name="et_List06_tariff">et_union!$209:$221</definedName>
    <definedName name="et_List06_voltage">et_union!$223:$225</definedName>
    <definedName name="et_List06_voltage2">et_union!$227:$233</definedName>
    <definedName name="et_List07_tariff">et_union!$237:$285</definedName>
    <definedName name="et_List08_tariff">et_union!$289:$296</definedName>
    <definedName name="et_List09_org1">et_union!$320:$322</definedName>
    <definedName name="et_List09_org2">et_union!$324:$326</definedName>
    <definedName name="et_List09_org3">et_union!$328:$330</definedName>
    <definedName name="et_List09_org4">et_union!$332:$334</definedName>
    <definedName name="et_List09_org5">et_union!$336:$338</definedName>
    <definedName name="et_List09_tariff">et_union!$300:$318</definedName>
    <definedName name="et_List10_nalog">et_union!$356:$356</definedName>
    <definedName name="et_List10_tariff">et_union!$342:$354</definedName>
    <definedName name="et_List11_tariff">et_union!$360:$383</definedName>
    <definedName name="et_List12_tariff">et_union!$387:$394</definedName>
    <definedName name="et_List13_tariff">et_union!$398:$400</definedName>
    <definedName name="et_List14_tariff">et_union!$404:$447</definedName>
    <definedName name="et_List15_1">et_union!$578:$578</definedName>
    <definedName name="et_List15_or">et_union!$454:$499</definedName>
    <definedName name="et_List15_tariff">et_union!$451:$576</definedName>
    <definedName name="et_List16_line_d">et_union!$635:$640</definedName>
    <definedName name="et_List16_line_o">et_union!$632:$633</definedName>
    <definedName name="et_List16_line_transp">et_union!$642:$642</definedName>
    <definedName name="et_List16_tariff">et_union!$582:$621</definedName>
    <definedName name="et_List16_tariff_transp">et_union!$623:$630</definedName>
    <definedName name="et_List17_tariff_vo">et_union!$698:$748</definedName>
    <definedName name="et_List17_tariff_vs">et_union!$646:$696</definedName>
    <definedName name="et_List18_block">et_union!$755:$805</definedName>
    <definedName name="et_List18_tariff">et_union!$752:$753</definedName>
    <definedName name="first_year">'Общие сведения'!$H$9</definedName>
    <definedName name="FirstLine">Инструкция!$A$6</definedName>
    <definedName name="god">'Общие сведения'!$H$8</definedName>
    <definedName name="HAS_DOC2">'Общие сведения'!$H$46</definedName>
    <definedName name="HAS_DOC2_block">'Общие сведения'!$H$47:$H$51</definedName>
    <definedName name="HAS_DOC3">'Общие сведения'!$H$52</definedName>
    <definedName name="HAS_DOC3_block">'Общие сведения'!$H$53:$H$57</definedName>
    <definedName name="HAS_DOC4">'Общие сведения'!$H$58</definedName>
    <definedName name="HAS_DOC4_block">'Общие сведения'!$H$59:$H$63</definedName>
    <definedName name="HAS_DOC5">'Общие сведения'!$H$64</definedName>
    <definedName name="HAS_DOC5_block">'Общие сведения'!$H$65:$H$70</definedName>
    <definedName name="HAS_DOC6">'Общие сведения'!$H$71</definedName>
    <definedName name="HAS_DOC6_block">'Общие сведения'!$H$72:$H$77</definedName>
    <definedName name="HAS_DOC7">'Общие сведения'!$H$78</definedName>
    <definedName name="HAS_DOC7_block">'Общие сведения'!$H$79:$H$84</definedName>
    <definedName name="hasTranspVO">'Общие сведения'!$J$108</definedName>
    <definedName name="hasTranspVS">'Общие сведения'!$I$108</definedName>
    <definedName name="hasVO">'Общие сведения'!$H$108</definedName>
    <definedName name="hasVS">'Общие сведения'!$G$108</definedName>
    <definedName name="inn">'Общие сведения'!$H$26</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сведения'!$H$27</definedName>
    <definedName name="last_year">'Общие сведения'!$I$9</definedName>
    <definedName name="last_year_vis">'Общие сведения'!$J$9</definedName>
    <definedName name="limcount" hidden="1">1</definedName>
    <definedName name="List00_check_area">'Общие сведения'!$H$7:$H$152</definedName>
    <definedName name="List00_del_tariff_range">'Общие сведения'!$I$114:$I$140</definedName>
    <definedName name="List00_LOAD_1">'Общие сведения'!$H$28:$H$152</definedName>
    <definedName name="List00_pIns1">'Общие сведения'!#REF!</definedName>
    <definedName name="List00_pIns2">'Общие сведения'!#REF!</definedName>
    <definedName name="List00_pIns3">'Общие сведения'!#REF!</definedName>
    <definedName name="List00_pIns4">'Общие сведения'!#REF!</definedName>
    <definedName name="List00_pIns5">'Общие сведения'!#REF!</definedName>
    <definedName name="List00_pIns6">'Общие сведения'!#REF!</definedName>
    <definedName name="List00_pIns7">'Общие сведения'!#REF!</definedName>
    <definedName name="List00_tariff_start">'Общие сведения'!$D$113</definedName>
    <definedName name="List00_vis_flags">'Общие сведения'!$B$113:$B$140</definedName>
    <definedName name="List01_mo_column">'Список территорий'!$N$14:$N$19</definedName>
    <definedName name="List01_mr_column">'Список территорий'!$M$14:$M$19</definedName>
    <definedName name="List02_indicators2">'Список объектов'!$M$28:$R$28</definedName>
    <definedName name="List02_LOAD_1">'Список объектов'!$O$15:$R$26</definedName>
    <definedName name="List02_LOAD_2">'Список объектов'!$S$15:$S$26</definedName>
    <definedName name="List02_LOAD_3">'Список объектов'!$M$29:$Q$31</definedName>
    <definedName name="List02_object_range">'Список объектов'!$M$29:$M$31</definedName>
    <definedName name="List02_osn_ekpl_range">'Список объектов'!$N$29:$N$31</definedName>
    <definedName name="List03_LOAD">Сценарии!$O$15:$Q$53,Сценарии!$S$15:$U$53,Сценарии!$Y$15:$AP$53</definedName>
    <definedName name="List03_LOAD_COM">Сценарии!$R$15:$R$53,Сценарии!$X$15:$X$53</definedName>
    <definedName name="List03_vis_flags">Сценарии!$Y$7:$AP$7</definedName>
    <definedName name="List03_vis_flags2">Сценарии!$G$15:$G$53</definedName>
    <definedName name="List04_check_range1">Баланс!$O$16:$AL$57</definedName>
    <definedName name="List04_LOAD_VO">Баланс!$O$24:$AL$25</definedName>
    <definedName name="List04_LOAD_VO_COM">Баланс!$AM$23:$AM$25</definedName>
    <definedName name="List04_LOAD_VOTR">Баланс!$O$28:$AL$57</definedName>
    <definedName name="List04_LOAD_VOTR_COM">Баланс!$AM$27:$AM$57</definedName>
    <definedName name="List04_LOAD_VS">Баланс!$O$16:$AL$17</definedName>
    <definedName name="List04_LOAD_VS_COM">Баланс!$AM$15:$AM$17</definedName>
    <definedName name="List04_LOAD_VSTR">Баланс!$O$20:$AL$21</definedName>
    <definedName name="List04_LOAD_VSTR_COM">Баланс!$AM$19:$AM$21</definedName>
    <definedName name="List04_pIns_comm">Баланс!#REF!</definedName>
    <definedName name="List04_vis_flags">Баланс!$S$7:$AL$7</definedName>
    <definedName name="List04_vis_flags2">Баланс!$G$14:$G$59</definedName>
    <definedName name="List05_LOAD_1">Реагенты!$O$15:$AL$22</definedName>
    <definedName name="List05_LOAD_2">Реагенты!$AM$14:$AM$22</definedName>
    <definedName name="List05_pIns_comm">Реагенты!#REF!</definedName>
    <definedName name="List05_vis_flags">Реагенты!$S$7:$AL$7</definedName>
    <definedName name="List06_LOAD_1">ЭЭ!$O$15:$AL$38</definedName>
    <definedName name="List06_LOAD_2">ЭЭ!$AM$14:$AM$38</definedName>
    <definedName name="List06_pIns_comm">ЭЭ!#REF!</definedName>
    <definedName name="List06_vis_flags">ЭЭ!$S$7:$AL$7</definedName>
    <definedName name="List07_LOAD_1">Амортизация!$O$15:$AL$114</definedName>
    <definedName name="List07_LOAD_2">Амортизация!$AM$14:$AM$114</definedName>
    <definedName name="List07_pIns_comm">Амортизация!#REF!</definedName>
    <definedName name="List07_vis_flags">Амортизация!$S$7:$AL$7</definedName>
    <definedName name="List08_LOAD_1">Аренда!$O$15:$AL$32</definedName>
    <definedName name="List08_LOAD_2">Аренда!$AM$14:$AM$32</definedName>
    <definedName name="List08_pIns_comm">Аренда!#REF!</definedName>
    <definedName name="List08_vis_flags">Аренда!$S$7:$AL$7</definedName>
    <definedName name="List09_LOAD_1">Покупка!$O$15:$AL$44</definedName>
    <definedName name="List09_LOAD_2">Покупка!$AM$14:$AM$44</definedName>
    <definedName name="List09_pIns_comm">Покупка!#REF!</definedName>
    <definedName name="List09_vis_flags">Покупка!$S$7:$AL$7</definedName>
    <definedName name="List10_LOAD_1">Налоги!$O$15:$AL$40</definedName>
    <definedName name="List10_LOAD_2">Налоги!$AM$14:$AM$40</definedName>
    <definedName name="List10_pIns_comm">Налоги!#REF!</definedName>
    <definedName name="List10_vis_flags">Налоги!$S$7:$AL$7</definedName>
    <definedName name="List11_is_one_block">'ИП + источники'!$N$14</definedName>
    <definedName name="List11_LOAD_1">'ИП + источники'!$O$17:$AN$89</definedName>
    <definedName name="List11_LOAD_2">'ИП + источники'!$AO$16:$AO$89</definedName>
    <definedName name="List11_pIns_comm">'ИП + источники'!#REF!</definedName>
    <definedName name="List11_vis_flags">'ИП + источники'!$U$7:$AN$7</definedName>
    <definedName name="List11_vis_flags2">'ИП + источники'!$B$17:$B$89</definedName>
    <definedName name="List12_LOAD_1">Экономия_корр!$O$15:$AH$32</definedName>
    <definedName name="List12_LOAD_2">Экономия_корр!$AI$14:$AI$32</definedName>
    <definedName name="List12_pIns_comm">Экономия_корр!#REF!</definedName>
    <definedName name="List12_vis_flags">Экономия_корр!$O$7:$AH$7</definedName>
    <definedName name="List13_LOAD_1">'Плата за негативное возд'!$O$14:$V$21</definedName>
    <definedName name="List13_pIns_comm">'Плата за негативное возд'!#REF!</definedName>
    <definedName name="List14_LOAD_1">'Корректировка НВВ'!$P$15:$Q$104</definedName>
    <definedName name="List14_LOAD_2">'Корректировка НВВ'!$R$14:$R$104</definedName>
    <definedName name="List14_pIns_comm">'Корректировка НВВ'!#REF!</definedName>
    <definedName name="List14_vis_flags">'Корректировка НВВ'!$C$15:$C$104</definedName>
    <definedName name="List15_LOAD_1">Калькуляция!$O$15:$AM$266</definedName>
    <definedName name="List15_LOAD_2">Калькуляция!$AX$14:$AZ$266</definedName>
    <definedName name="List15_pIns_comm">Калькуляция!#REF!</definedName>
    <definedName name="List15_vis_flags">Калькуляция!$T$7:$AW$7</definedName>
    <definedName name="List15_vis_flags2">Калькуляция!$C$15:$C$266</definedName>
    <definedName name="List16_LOAD_1">ТМ!$N$16:$DW$35</definedName>
    <definedName name="List16_pIns_comm">ТМ!#REF!</definedName>
    <definedName name="List16_vis_flags">ТМ!$Q$7:$FG$7</definedName>
    <definedName name="List16_vis_flags2">ТМ!$G$14:$G$35</definedName>
    <definedName name="List17_check_range1">ДПР!$Q$18:$Q$121</definedName>
    <definedName name="List17_ee_divide">ДПР!$P$14</definedName>
    <definedName name="List17_LOAD_1">ДПР!$M$18:$U$121</definedName>
    <definedName name="List17_pIns_comm">ДПР!#REF!</definedName>
    <definedName name="List17_vis_flags">ДПР!$G$18:$G$121</definedName>
    <definedName name="List17_vis_flags2">ДПР!$Q$7:$U$7</definedName>
    <definedName name="List18_LOAD_1">'ДПР (концессии)'!$M$16:$U$19</definedName>
    <definedName name="List18_pIns_comm">'ДПР (концессии)'!#REF!</definedName>
    <definedName name="List18_vis_flags">'ДПР (концессии)'!$G$16:$G$19</definedName>
    <definedName name="List18_vis_flags2">'ДПР (концессии)'!$Q$7:$U$7</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сведения'!$H$25</definedName>
    <definedName name="OIV_LIST">TEHSHEET!$A$90:$B$175</definedName>
    <definedName name="okopf">'Общие сведения'!$H$29</definedName>
    <definedName name="okopf_list">DICTIONARIES!$A$2:$A$97</definedName>
    <definedName name="onlyOneYear">'Общие сведения'!$H$152</definedName>
    <definedName name="org">'Общие сведения'!$E$17</definedName>
    <definedName name="org_declaration">'Общие сведения'!$E$114</definedName>
    <definedName name="ORG_DIRECTOR_POSITION">'Общие сведения'!$H$35</definedName>
    <definedName name="ORG_EMAIL">'Общие сведения'!$H$33</definedName>
    <definedName name="ORG_END_DATE">TEHSHEET!$M$12</definedName>
    <definedName name="ORG_FIO_DIRECTOR">'Общие сведения'!$H$34</definedName>
    <definedName name="ORG_FULL_NAME">'Общие сведения'!$H$22</definedName>
    <definedName name="ORG_LEGAL_ADDRESS">'Общие сведения'!$H$30</definedName>
    <definedName name="ORG_MAIL_ADDRESS">'Общие сведения'!$H$31</definedName>
    <definedName name="ORG_PHONE">'Общие сведения'!$H$32</definedName>
    <definedName name="ORG_SHORT_NAME">'Общие сведения'!$H$23</definedName>
    <definedName name="ORG_SITE">'Общие сведения'!$H$36</definedName>
    <definedName name="ORG_START_DATE">TEHSHEET!$M$11</definedName>
    <definedName name="osn_expl_list">TEHSHEET!$X$2:$X$14</definedName>
    <definedName name="OWNERSHIP_TYPE">TEHSHEET!$G$13:$G$16</definedName>
    <definedName name="OWNERSHIP_TYPE_VALUE">'Общие сведения'!$H$39</definedName>
    <definedName name="OwnNeedsInPO">'Общие сведения'!$H$86</definedName>
    <definedName name="pbStartPageNumber">1</definedName>
    <definedName name="pbUpdatePageNumbering">TRUE</definedName>
    <definedName name="PERIOD">TEHSHEET!$M$8</definedName>
    <definedName name="PERIOD_LENGTH">'Общие сведения'!$H$10</definedName>
    <definedName name="period_list">TEHSHEET!$S$2:$S$49</definedName>
    <definedName name="pIns_List00">'Общие сведения'!#REF!</definedName>
    <definedName name="pIns_List01_tariff">'Список территорий'!$L$19</definedName>
    <definedName name="pIns_List02_obj">'Список объектов'!#REF!</definedName>
    <definedName name="pIns_List02_tariff">'Список объектов'!$M$26</definedName>
    <definedName name="pIns_List03_tariff">Сценарии!$M$52</definedName>
    <definedName name="pIns_List04_tariff_vo">Баланс!$L$25</definedName>
    <definedName name="pIns_List04_tariff_vo_transp">Баланс!$L$57</definedName>
    <definedName name="pIns_List04_tariff_vs">Баланс!$L$17</definedName>
    <definedName name="pIns_List04_tariff_vs_transp">Баланс!$L$21</definedName>
    <definedName name="pIns_List05_reagent">Реагенты!$M:$M</definedName>
    <definedName name="pIns_List05_tariff">Реагенты!$L$22</definedName>
    <definedName name="pIns_List06_tariff">ЭЭ!$L$38</definedName>
    <definedName name="pIns_List06_voltage">ЭЭ!$M:$M</definedName>
    <definedName name="pIns_List07_tariff">Амортизация!$L$114</definedName>
    <definedName name="pIns_List08_tariff">Аренда!$L$32</definedName>
    <definedName name="pIns_List09_postav">Покупка!$M:$M</definedName>
    <definedName name="pIns_List09_tariff">Покупка!$L$44</definedName>
    <definedName name="pIns_List10_nalog">Налоги!$M:$M</definedName>
    <definedName name="pIns_List10_tariff">Налоги!$L$40</definedName>
    <definedName name="pIns_List11_tariff">'ИП + источники'!$L$89</definedName>
    <definedName name="pIns_List12_tariff">Экономия_корр!$L$32</definedName>
    <definedName name="pIns_List13_tariff">'Плата за негативное возд'!$L$21</definedName>
    <definedName name="pIns_List14_tariff">'Корректировка НВВ'!$L$104</definedName>
    <definedName name="pIns_List15_tariff">Калькуляция!$L$266</definedName>
    <definedName name="pIns_List16_tariff">ТМ!$L$17</definedName>
    <definedName name="pIns_List16_tariff_transp">ТМ!$L$35</definedName>
    <definedName name="pins_List17_tariff">ДПР!$L$121</definedName>
    <definedName name="pins_List18_tariff">'ДПР (концессии)'!$L$19</definedName>
    <definedName name="plat_nds">'Общие сведения'!$H$41</definedName>
    <definedName name="REESTR_OBJECT_LIST">REESTR_OBJECT!$A$2:$I$5</definedName>
    <definedName name="REESTR_ORG_RANGE">REESTR_ORG!$A$2:$J$285</definedName>
    <definedName name="REESTR_TARIFF_LIST">REESTR_TARIFF!$A$2:$K$6</definedName>
    <definedName name="REGION">TEHSHEET!$A$1:$A$86</definedName>
    <definedName name="region_id">'Общие сведения'!$I$7</definedName>
    <definedName name="region_name">'Общие сведения'!$H$7</definedName>
    <definedName name="rst_org_id">'Общие сведения'!$D$17</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сведения'!$H$37</definedName>
    <definedName name="STATE_SHARE_VALUE">'Общие сведения'!$H$38</definedName>
    <definedName name="STATUS_GO">'Общие сведения'!$H$43</definedName>
    <definedName name="STATUS_GO_block">'Общие сведения'!$H$44:$H$44</definedName>
    <definedName name="subsidiary_list">DICTIONARIES!$B$2</definedName>
    <definedName name="support_docs_1">TEHSHEET!$X$12:$X$14</definedName>
    <definedName name="support_docs_2">TEHSHEET!$X$17:$X$21</definedName>
    <definedName name="support_docs_3">TEHSHEET!$X$24:$X$26</definedName>
    <definedName name="support_docs_4">TEHSHEET!$X$29:$X$31</definedName>
    <definedName name="support_docs_5">TEHSHEET!$X$34:$X$35</definedName>
    <definedName name="support_docs_6">TEHSHEET!$X$38:$X$41</definedName>
    <definedName name="support_docs_7">TEHSHEET!$X$44:$X$45</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сведения'!$O$17</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19">Амортизация!$L:$N,Амортизация!$14:$15</definedName>
    <definedName name="_xlnm.Print_Titles" localSheetId="20">Аренда!$L:$N,Аренда!$14:$15</definedName>
    <definedName name="_xlnm.Print_Titles" localSheetId="16">Баланс!$L:$N,Баланс!$15:$16</definedName>
    <definedName name="_xlnm.Print_Titles" localSheetId="30">ДПР!$L:$L,ДПР!$14:$16</definedName>
    <definedName name="_xlnm.Print_Titles" localSheetId="31">'ДПР (концессии)'!$L:$L,'ДПР (концессии)'!$14:$16</definedName>
    <definedName name="_xlnm.Print_Titles" localSheetId="23">'ИП + источники'!$L:$N,'ИП + источники'!$16:$17</definedName>
    <definedName name="_xlnm.Print_Titles" localSheetId="27">Калькуляция!$L:$N,Калькуляция!$14:$15</definedName>
    <definedName name="_xlnm.Print_Titles" localSheetId="26">'Корректировка НВВ'!$L:$N,'Корректировка НВВ'!$14:$15</definedName>
    <definedName name="_xlnm.Print_Titles" localSheetId="22">Налоги!$L:$N,Налоги!$14:$15</definedName>
    <definedName name="_xlnm.Print_Titles" localSheetId="25">'Плата за негативное возд'!$L:$N,'Плата за негативное возд'!$14:$14</definedName>
    <definedName name="_xlnm.Print_Titles" localSheetId="21">Покупка!$L:$N,Покупка!$14:$15</definedName>
    <definedName name="_xlnm.Print_Titles" localSheetId="17">Реагенты!$L:$N,Реагенты!$14:$15</definedName>
    <definedName name="_xlnm.Print_Titles" localSheetId="14">'Список объектов'!$L:$N</definedName>
    <definedName name="_xlnm.Print_Titles" localSheetId="13">'Список территорий'!$14:$14</definedName>
    <definedName name="_xlnm.Print_Titles" localSheetId="15">Сценарии!$L:$N,Сценарии!$14:$15</definedName>
    <definedName name="_xlnm.Print_Titles" localSheetId="29">ТМ!$L:$M,ТМ!$15:$16</definedName>
    <definedName name="_xlnm.Print_Titles" localSheetId="24">Экономия_корр!$L:$N,Экономия_корр!$14:$15</definedName>
    <definedName name="_xlnm.Print_Titles" localSheetId="18">ЭЭ!$L:$N,ЭЭ!$14:$15</definedName>
    <definedName name="_xlnm.Print_Area" localSheetId="12">'Общие сведения'!$E$7:$H$156</definedName>
  </definedNames>
  <calcPr calcId="145621" calcMode="manual"/>
</workbook>
</file>

<file path=xl/calcChain.xml><?xml version="1.0" encoding="utf-8"?>
<calcChain xmlns="http://schemas.openxmlformats.org/spreadsheetml/2006/main">
  <c r="E154" i="488" l="1"/>
  <c r="G154" i="488"/>
  <c r="A41" i="517" l="1"/>
  <c r="A39" i="517"/>
  <c r="A40" i="517"/>
  <c r="A36" i="517"/>
  <c r="A37" i="517"/>
  <c r="A38" i="517"/>
  <c r="A35" i="517"/>
  <c r="A33" i="517"/>
  <c r="A34" i="517"/>
  <c r="A30" i="517"/>
  <c r="A31" i="517"/>
  <c r="A32" i="517"/>
  <c r="A1" i="517"/>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A29" i="517"/>
  <c r="B3" i="465"/>
  <c r="M70" i="225" l="1"/>
  <c r="B159" i="225" l="1"/>
  <c r="B404" i="225" l="1"/>
  <c r="D451" i="225" l="1"/>
  <c r="C551" i="225" s="1"/>
  <c r="B451" i="225"/>
  <c r="C563" i="225" s="1"/>
  <c r="C439" i="225"/>
  <c r="C356" i="225"/>
  <c r="C336" i="225"/>
  <c r="C337" i="225" s="1"/>
  <c r="C338" i="225" s="1"/>
  <c r="C332" i="225"/>
  <c r="C333" i="225" s="1"/>
  <c r="C334" i="225" s="1"/>
  <c r="C328" i="225"/>
  <c r="C329" i="225" s="1"/>
  <c r="C330" i="225" s="1"/>
  <c r="C324" i="225"/>
  <c r="C325" i="225" s="1"/>
  <c r="C326" i="225" s="1"/>
  <c r="C320" i="225"/>
  <c r="C321" i="225" s="1"/>
  <c r="C322" i="225" s="1"/>
  <c r="C227" i="225"/>
  <c r="C228" i="225" s="1"/>
  <c r="C229" i="225" s="1"/>
  <c r="C230" i="225" s="1"/>
  <c r="C231" i="225" s="1"/>
  <c r="C232" i="225" s="1"/>
  <c r="C233" i="225" s="1"/>
  <c r="C223" i="225"/>
  <c r="C224" i="225" s="1"/>
  <c r="C225" i="225" s="1"/>
  <c r="D72" i="225"/>
  <c r="D68" i="225"/>
  <c r="D66" i="225"/>
  <c r="D65" i="225"/>
  <c r="D64" i="225"/>
  <c r="D61" i="225"/>
  <c r="D59" i="225"/>
  <c r="D58" i="225"/>
  <c r="D57" i="225"/>
  <c r="D56" i="225"/>
  <c r="D55" i="225"/>
  <c r="L46" i="225"/>
  <c r="C440" i="225" l="1"/>
  <c r="C550" i="225"/>
  <c r="C562" i="225"/>
  <c r="B379" i="225" l="1"/>
  <c r="B371" i="225"/>
  <c r="B363" i="225"/>
  <c r="B378" i="225"/>
  <c r="B370" i="225"/>
  <c r="B362" i="225"/>
  <c r="B377" i="225"/>
  <c r="B369" i="225"/>
  <c r="B361" i="225"/>
  <c r="B372" i="225"/>
  <c r="B376" i="225"/>
  <c r="B368" i="225"/>
  <c r="B360" i="225"/>
  <c r="B382" i="225"/>
  <c r="B374" i="225"/>
  <c r="B366" i="225"/>
  <c r="B380" i="225"/>
  <c r="B364" i="225"/>
  <c r="B383" i="225"/>
  <c r="B375" i="225"/>
  <c r="B367" i="225"/>
  <c r="B381" i="225"/>
  <c r="B373" i="225"/>
  <c r="B365" i="225"/>
  <c r="A50" i="225" l="1"/>
  <c r="A48" i="225"/>
  <c r="A47" i="225"/>
  <c r="L752" i="225"/>
  <c r="L698" i="225"/>
  <c r="L646" i="225"/>
  <c r="F805" i="225"/>
  <c r="L805" i="225" s="1"/>
  <c r="F804" i="225"/>
  <c r="L804" i="225" s="1"/>
  <c r="F803" i="225"/>
  <c r="L803" i="225" s="1"/>
  <c r="F802" i="225"/>
  <c r="G802" i="225" s="1"/>
  <c r="F801" i="225"/>
  <c r="G801" i="225" s="1"/>
  <c r="F800" i="225"/>
  <c r="G800" i="225" s="1"/>
  <c r="F799" i="225"/>
  <c r="L799" i="225" s="1"/>
  <c r="F798" i="225"/>
  <c r="L798" i="225" s="1"/>
  <c r="F797" i="225"/>
  <c r="G797" i="225" s="1"/>
  <c r="F796" i="225"/>
  <c r="L796" i="225" s="1"/>
  <c r="F795" i="225"/>
  <c r="L795" i="225" s="1"/>
  <c r="F794" i="225"/>
  <c r="G794" i="225" s="1"/>
  <c r="F793" i="225"/>
  <c r="G793" i="225" s="1"/>
  <c r="F792" i="225"/>
  <c r="L792" i="225" s="1"/>
  <c r="F791" i="225"/>
  <c r="L791" i="225" s="1"/>
  <c r="F790" i="225"/>
  <c r="L790" i="225" s="1"/>
  <c r="F789" i="225"/>
  <c r="G789" i="225" s="1"/>
  <c r="F788" i="225"/>
  <c r="L788" i="225" s="1"/>
  <c r="F787" i="225"/>
  <c r="L787" i="225" s="1"/>
  <c r="F786" i="225"/>
  <c r="G786" i="225" s="1"/>
  <c r="F785" i="225"/>
  <c r="G785" i="225" s="1"/>
  <c r="F784" i="225"/>
  <c r="L784" i="225" s="1"/>
  <c r="F783" i="225"/>
  <c r="L783" i="225" s="1"/>
  <c r="F782" i="225"/>
  <c r="L782" i="225" s="1"/>
  <c r="F781" i="225"/>
  <c r="L781" i="225" s="1"/>
  <c r="F780" i="225"/>
  <c r="L780" i="225" s="1"/>
  <c r="F779" i="225"/>
  <c r="L779" i="225" s="1"/>
  <c r="F778" i="225"/>
  <c r="G778" i="225" s="1"/>
  <c r="F777" i="225"/>
  <c r="G777" i="225" s="1"/>
  <c r="F776" i="225"/>
  <c r="L776" i="225" s="1"/>
  <c r="F775" i="225"/>
  <c r="L775" i="225" s="1"/>
  <c r="F774" i="225"/>
  <c r="G774" i="225" s="1"/>
  <c r="F773" i="225"/>
  <c r="L773" i="225" s="1"/>
  <c r="F772" i="225"/>
  <c r="L772" i="225" s="1"/>
  <c r="F771" i="225"/>
  <c r="L771" i="225" s="1"/>
  <c r="F770" i="225"/>
  <c r="G770" i="225" s="1"/>
  <c r="F769" i="225"/>
  <c r="G769" i="225" s="1"/>
  <c r="F768" i="225"/>
  <c r="L768" i="225" s="1"/>
  <c r="F767" i="225"/>
  <c r="L767" i="225" s="1"/>
  <c r="F766" i="225"/>
  <c r="L766" i="225" s="1"/>
  <c r="F765" i="225"/>
  <c r="L765" i="225" s="1"/>
  <c r="F764" i="225"/>
  <c r="L764" i="225" s="1"/>
  <c r="F763" i="225"/>
  <c r="L763" i="225" s="1"/>
  <c r="F762" i="225"/>
  <c r="G762" i="225" s="1"/>
  <c r="F761" i="225"/>
  <c r="G761" i="225" s="1"/>
  <c r="F760" i="225"/>
  <c r="L760" i="225" s="1"/>
  <c r="F759" i="225"/>
  <c r="L759" i="225" s="1"/>
  <c r="F758" i="225"/>
  <c r="L758" i="225" s="1"/>
  <c r="F757" i="225"/>
  <c r="L757" i="225" s="1"/>
  <c r="F756" i="225"/>
  <c r="L756" i="225" s="1"/>
  <c r="B755" i="225"/>
  <c r="B756" i="225" s="1"/>
  <c r="B757" i="225" s="1"/>
  <c r="B758" i="225" s="1"/>
  <c r="B759" i="225" s="1"/>
  <c r="B760" i="225" s="1"/>
  <c r="B761" i="225" s="1"/>
  <c r="B762" i="225" s="1"/>
  <c r="B763" i="225" s="1"/>
  <c r="B764" i="225" s="1"/>
  <c r="B765" i="225" s="1"/>
  <c r="B766" i="225" s="1"/>
  <c r="B767" i="225" s="1"/>
  <c r="B768" i="225" s="1"/>
  <c r="B769" i="225" s="1"/>
  <c r="B770" i="225" s="1"/>
  <c r="B771" i="225" s="1"/>
  <c r="B772" i="225" s="1"/>
  <c r="B773" i="225" s="1"/>
  <c r="B774" i="225" s="1"/>
  <c r="B775" i="225" s="1"/>
  <c r="B776" i="225" s="1"/>
  <c r="B777" i="225" s="1"/>
  <c r="B778" i="225" s="1"/>
  <c r="B779" i="225" s="1"/>
  <c r="B780" i="225" s="1"/>
  <c r="B781" i="225" s="1"/>
  <c r="B782" i="225" s="1"/>
  <c r="B783" i="225" s="1"/>
  <c r="B784" i="225" s="1"/>
  <c r="B785" i="225" s="1"/>
  <c r="B786" i="225" s="1"/>
  <c r="B787" i="225" s="1"/>
  <c r="B788" i="225" s="1"/>
  <c r="B789" i="225" s="1"/>
  <c r="B790" i="225" s="1"/>
  <c r="B791" i="225" s="1"/>
  <c r="B792" i="225" s="1"/>
  <c r="B793" i="225" s="1"/>
  <c r="B794" i="225" s="1"/>
  <c r="B795" i="225" s="1"/>
  <c r="B796" i="225" s="1"/>
  <c r="B797" i="225" s="1"/>
  <c r="B798" i="225" s="1"/>
  <c r="B799" i="225" s="1"/>
  <c r="B800" i="225" s="1"/>
  <c r="B801" i="225" s="1"/>
  <c r="B802" i="225" s="1"/>
  <c r="B803" i="225" s="1"/>
  <c r="B804" i="225" s="1"/>
  <c r="B805" i="225" s="1"/>
  <c r="A755" i="225"/>
  <c r="A756" i="225" s="1"/>
  <c r="A757" i="225" s="1"/>
  <c r="A758" i="225" s="1"/>
  <c r="A759" i="225" s="1"/>
  <c r="A760" i="225" s="1"/>
  <c r="A761" i="225" s="1"/>
  <c r="A762" i="225" s="1"/>
  <c r="A763" i="225" s="1"/>
  <c r="A764" i="225" s="1"/>
  <c r="A765" i="225" s="1"/>
  <c r="A766" i="225" s="1"/>
  <c r="A767" i="225" s="1"/>
  <c r="A768" i="225" s="1"/>
  <c r="A769" i="225" s="1"/>
  <c r="A770" i="225" s="1"/>
  <c r="A771" i="225" s="1"/>
  <c r="A772" i="225" s="1"/>
  <c r="A773" i="225" s="1"/>
  <c r="A774" i="225" s="1"/>
  <c r="A775" i="225" s="1"/>
  <c r="A776" i="225" s="1"/>
  <c r="A777" i="225" s="1"/>
  <c r="A778" i="225" s="1"/>
  <c r="A779" i="225" s="1"/>
  <c r="A780" i="225" s="1"/>
  <c r="A781" i="225" s="1"/>
  <c r="A782" i="225" s="1"/>
  <c r="A783" i="225" s="1"/>
  <c r="A784" i="225" s="1"/>
  <c r="A785" i="225" s="1"/>
  <c r="A786" i="225" s="1"/>
  <c r="A787" i="225" s="1"/>
  <c r="A788" i="225" s="1"/>
  <c r="A789" i="225" s="1"/>
  <c r="A790" i="225" s="1"/>
  <c r="A791" i="225" s="1"/>
  <c r="A792" i="225" s="1"/>
  <c r="A793" i="225" s="1"/>
  <c r="A794" i="225" s="1"/>
  <c r="A795" i="225" s="1"/>
  <c r="A796" i="225" s="1"/>
  <c r="A797" i="225" s="1"/>
  <c r="A798" i="225" s="1"/>
  <c r="A799" i="225" s="1"/>
  <c r="A800" i="225" s="1"/>
  <c r="A801" i="225" s="1"/>
  <c r="A802" i="225" s="1"/>
  <c r="A803" i="225" s="1"/>
  <c r="A804" i="225" s="1"/>
  <c r="A805" i="225" s="1"/>
  <c r="A753" i="225"/>
  <c r="B753" i="225" s="1"/>
  <c r="F748" i="225"/>
  <c r="L748" i="225" s="1"/>
  <c r="F747" i="225"/>
  <c r="L747" i="225" s="1"/>
  <c r="F746" i="225"/>
  <c r="L746" i="225" s="1"/>
  <c r="F745" i="225"/>
  <c r="L745" i="225" s="1"/>
  <c r="F744" i="225"/>
  <c r="L744" i="225" s="1"/>
  <c r="F743" i="225"/>
  <c r="L743" i="225" s="1"/>
  <c r="F742" i="225"/>
  <c r="L742" i="225" s="1"/>
  <c r="F741" i="225"/>
  <c r="L741" i="225" s="1"/>
  <c r="F740" i="225"/>
  <c r="L740" i="225" s="1"/>
  <c r="F739" i="225"/>
  <c r="L739" i="225" s="1"/>
  <c r="F738" i="225"/>
  <c r="L738" i="225" s="1"/>
  <c r="F737" i="225"/>
  <c r="L737" i="225" s="1"/>
  <c r="F736" i="225"/>
  <c r="L736" i="225" s="1"/>
  <c r="F735" i="225"/>
  <c r="L735" i="225" s="1"/>
  <c r="F734" i="225"/>
  <c r="L734" i="225" s="1"/>
  <c r="F733" i="225"/>
  <c r="L733" i="225" s="1"/>
  <c r="F732" i="225"/>
  <c r="L732" i="225" s="1"/>
  <c r="F731" i="225"/>
  <c r="L731" i="225" s="1"/>
  <c r="F730" i="225"/>
  <c r="L730" i="225" s="1"/>
  <c r="F729" i="225"/>
  <c r="L729" i="225" s="1"/>
  <c r="F728" i="225"/>
  <c r="L728" i="225" s="1"/>
  <c r="F727" i="225"/>
  <c r="L727" i="225" s="1"/>
  <c r="F726" i="225"/>
  <c r="L726" i="225" s="1"/>
  <c r="F725" i="225"/>
  <c r="L725" i="225" s="1"/>
  <c r="F724" i="225"/>
  <c r="L724" i="225" s="1"/>
  <c r="F723" i="225"/>
  <c r="L723" i="225" s="1"/>
  <c r="F722" i="225"/>
  <c r="L722" i="225" s="1"/>
  <c r="F721" i="225"/>
  <c r="L721" i="225" s="1"/>
  <c r="F720" i="225"/>
  <c r="L720" i="225" s="1"/>
  <c r="F719" i="225"/>
  <c r="L719" i="225" s="1"/>
  <c r="F718" i="225"/>
  <c r="L718" i="225" s="1"/>
  <c r="F717" i="225"/>
  <c r="L717" i="225" s="1"/>
  <c r="F716" i="225"/>
  <c r="L716" i="225" s="1"/>
  <c r="F715" i="225"/>
  <c r="L715" i="225" s="1"/>
  <c r="F714" i="225"/>
  <c r="L714" i="225" s="1"/>
  <c r="F713" i="225"/>
  <c r="L713" i="225" s="1"/>
  <c r="F712" i="225"/>
  <c r="L712" i="225" s="1"/>
  <c r="F711" i="225"/>
  <c r="L711" i="225" s="1"/>
  <c r="F710" i="225"/>
  <c r="L710" i="225" s="1"/>
  <c r="F709" i="225"/>
  <c r="L709" i="225" s="1"/>
  <c r="F708" i="225"/>
  <c r="F707" i="225"/>
  <c r="F706" i="225"/>
  <c r="F705" i="225"/>
  <c r="F704" i="225"/>
  <c r="F703" i="225"/>
  <c r="F702" i="225"/>
  <c r="F701" i="225"/>
  <c r="F700" i="225"/>
  <c r="F699" i="225"/>
  <c r="A699" i="225"/>
  <c r="A700" i="225" s="1"/>
  <c r="A701" i="225" s="1"/>
  <c r="F696" i="225"/>
  <c r="L696" i="225" s="1"/>
  <c r="F695" i="225"/>
  <c r="L695" i="225" s="1"/>
  <c r="F694" i="225"/>
  <c r="L694" i="225" s="1"/>
  <c r="F693" i="225"/>
  <c r="G693" i="225" s="1"/>
  <c r="F692" i="225"/>
  <c r="L692" i="225" s="1"/>
  <c r="F691" i="225"/>
  <c r="G691" i="225" s="1"/>
  <c r="F690" i="225"/>
  <c r="L690" i="225" s="1"/>
  <c r="F689" i="225"/>
  <c r="G689" i="225" s="1"/>
  <c r="F688" i="225"/>
  <c r="L688" i="225" s="1"/>
  <c r="F687" i="225"/>
  <c r="L687" i="225" s="1"/>
  <c r="F686" i="225"/>
  <c r="L686" i="225" s="1"/>
  <c r="F685" i="225"/>
  <c r="G685" i="225" s="1"/>
  <c r="F684" i="225"/>
  <c r="L684" i="225" s="1"/>
  <c r="F683" i="225"/>
  <c r="L683" i="225" s="1"/>
  <c r="F682" i="225"/>
  <c r="L682" i="225" s="1"/>
  <c r="F681" i="225"/>
  <c r="G681" i="225" s="1"/>
  <c r="F680" i="225"/>
  <c r="L680" i="225" s="1"/>
  <c r="F679" i="225"/>
  <c r="G679" i="225" s="1"/>
  <c r="F678" i="225"/>
  <c r="L678" i="225" s="1"/>
  <c r="F677" i="225"/>
  <c r="G677" i="225" s="1"/>
  <c r="F676" i="225"/>
  <c r="L676" i="225" s="1"/>
  <c r="F675" i="225"/>
  <c r="G675" i="225" s="1"/>
  <c r="F674" i="225"/>
  <c r="L674" i="225" s="1"/>
  <c r="F673" i="225"/>
  <c r="G673" i="225" s="1"/>
  <c r="F672" i="225"/>
  <c r="L672" i="225" s="1"/>
  <c r="F671" i="225"/>
  <c r="L671" i="225" s="1"/>
  <c r="F670" i="225"/>
  <c r="L670" i="225" s="1"/>
  <c r="F669" i="225"/>
  <c r="G669" i="225" s="1"/>
  <c r="F668" i="225"/>
  <c r="L668" i="225" s="1"/>
  <c r="F667" i="225"/>
  <c r="L667" i="225" s="1"/>
  <c r="F666" i="225"/>
  <c r="L666" i="225" s="1"/>
  <c r="F665" i="225"/>
  <c r="G665" i="225" s="1"/>
  <c r="F664" i="225"/>
  <c r="L664" i="225" s="1"/>
  <c r="F663" i="225"/>
  <c r="L663" i="225" s="1"/>
  <c r="F662" i="225"/>
  <c r="L662" i="225" s="1"/>
  <c r="F661" i="225"/>
  <c r="G661" i="225" s="1"/>
  <c r="F660" i="225"/>
  <c r="L660" i="225" s="1"/>
  <c r="F659" i="225"/>
  <c r="L659" i="225" s="1"/>
  <c r="F658" i="225"/>
  <c r="L658" i="225" s="1"/>
  <c r="F657" i="225"/>
  <c r="G657" i="225" s="1"/>
  <c r="F656" i="225"/>
  <c r="F655" i="225"/>
  <c r="F654" i="225"/>
  <c r="F653" i="225"/>
  <c r="F652" i="225"/>
  <c r="F651" i="225"/>
  <c r="F650" i="225"/>
  <c r="F649" i="225"/>
  <c r="F648" i="225"/>
  <c r="F647" i="225"/>
  <c r="A647" i="225"/>
  <c r="A648" i="225" s="1"/>
  <c r="F582" i="225"/>
  <c r="G604" i="225" s="1"/>
  <c r="FG642" i="225"/>
  <c r="FD642" i="225"/>
  <c r="FA642" i="225"/>
  <c r="EX642" i="225"/>
  <c r="EU642" i="225"/>
  <c r="ER642" i="225"/>
  <c r="EO642" i="225"/>
  <c r="EL642" i="225"/>
  <c r="EI642" i="225"/>
  <c r="EF642" i="225"/>
  <c r="EC642" i="225"/>
  <c r="DZ642" i="225"/>
  <c r="DW642" i="225"/>
  <c r="DT642" i="225"/>
  <c r="DQ642" i="225"/>
  <c r="DN642" i="225"/>
  <c r="DK642" i="225"/>
  <c r="DH642" i="225"/>
  <c r="DE642" i="225"/>
  <c r="DB642" i="225"/>
  <c r="CY642" i="225"/>
  <c r="CV642" i="225"/>
  <c r="CS642" i="225"/>
  <c r="CP642" i="225"/>
  <c r="CM642" i="225"/>
  <c r="CJ642" i="225"/>
  <c r="CG642" i="225"/>
  <c r="CD642" i="225"/>
  <c r="CA642" i="225"/>
  <c r="BX642" i="225"/>
  <c r="BU642" i="225"/>
  <c r="BR642" i="225"/>
  <c r="BO642" i="225"/>
  <c r="BL642" i="225"/>
  <c r="BI642" i="225"/>
  <c r="BF642" i="225"/>
  <c r="BC642" i="225"/>
  <c r="AZ642" i="225"/>
  <c r="AW642" i="225"/>
  <c r="AT642" i="225"/>
  <c r="AQ642" i="225"/>
  <c r="AN642" i="225"/>
  <c r="AK642" i="225"/>
  <c r="AH642" i="225"/>
  <c r="AE642" i="225"/>
  <c r="AB642" i="225"/>
  <c r="Y642" i="225"/>
  <c r="V642" i="225"/>
  <c r="S642" i="225"/>
  <c r="P642" i="225"/>
  <c r="D642" i="225"/>
  <c r="A642" i="225"/>
  <c r="FG640" i="225"/>
  <c r="FD640" i="225"/>
  <c r="FA640" i="225"/>
  <c r="EX640" i="225"/>
  <c r="EU640" i="225"/>
  <c r="ER640" i="225"/>
  <c r="EO640" i="225"/>
  <c r="EL640" i="225"/>
  <c r="EI640" i="225"/>
  <c r="EF640" i="225"/>
  <c r="EC640" i="225"/>
  <c r="DZ640" i="225"/>
  <c r="DW640" i="225"/>
  <c r="DT640" i="225"/>
  <c r="DQ640" i="225"/>
  <c r="DN640" i="225"/>
  <c r="DK640" i="225"/>
  <c r="DH640" i="225"/>
  <c r="DE640" i="225"/>
  <c r="DB640" i="225"/>
  <c r="CY640" i="225"/>
  <c r="CV640" i="225"/>
  <c r="CS640" i="225"/>
  <c r="CP640" i="225"/>
  <c r="CM640" i="225"/>
  <c r="CJ640" i="225"/>
  <c r="CG640" i="225"/>
  <c r="CD640" i="225"/>
  <c r="CA640" i="225"/>
  <c r="BX640" i="225"/>
  <c r="BU640" i="225"/>
  <c r="BR640" i="225"/>
  <c r="BO640" i="225"/>
  <c r="BL640" i="225"/>
  <c r="BI640" i="225"/>
  <c r="BF640" i="225"/>
  <c r="BC640" i="225"/>
  <c r="AZ640" i="225"/>
  <c r="AW640" i="225"/>
  <c r="AT640" i="225"/>
  <c r="AQ640" i="225"/>
  <c r="AN640" i="225"/>
  <c r="AK640" i="225"/>
  <c r="AH640" i="225"/>
  <c r="AE640" i="225"/>
  <c r="AB640" i="225"/>
  <c r="Y640" i="225"/>
  <c r="V640" i="225"/>
  <c r="S640" i="225"/>
  <c r="P640" i="225"/>
  <c r="FG639" i="225"/>
  <c r="FD639" i="225"/>
  <c r="FA639" i="225"/>
  <c r="EX639" i="225"/>
  <c r="EU639" i="225"/>
  <c r="ER639" i="225"/>
  <c r="EO639" i="225"/>
  <c r="EL639" i="225"/>
  <c r="EI639" i="225"/>
  <c r="EF639" i="225"/>
  <c r="EC639" i="225"/>
  <c r="DZ639" i="225"/>
  <c r="DW639" i="225"/>
  <c r="DT639" i="225"/>
  <c r="DQ639" i="225"/>
  <c r="DN639" i="225"/>
  <c r="DK639" i="225"/>
  <c r="DH639" i="225"/>
  <c r="DE639" i="225"/>
  <c r="DB639" i="225"/>
  <c r="CY639" i="225"/>
  <c r="CV639" i="225"/>
  <c r="CS639" i="225"/>
  <c r="CP639" i="225"/>
  <c r="CM639" i="225"/>
  <c r="CJ639" i="225"/>
  <c r="CG639" i="225"/>
  <c r="CD639" i="225"/>
  <c r="CA639" i="225"/>
  <c r="BX639" i="225"/>
  <c r="BU639" i="225"/>
  <c r="BR639" i="225"/>
  <c r="BO639" i="225"/>
  <c r="BL639" i="225"/>
  <c r="BI639" i="225"/>
  <c r="BF639" i="225"/>
  <c r="BC639" i="225"/>
  <c r="AZ639" i="225"/>
  <c r="AW639" i="225"/>
  <c r="AT639" i="225"/>
  <c r="AQ639" i="225"/>
  <c r="AN639" i="225"/>
  <c r="AK639" i="225"/>
  <c r="AH639" i="225"/>
  <c r="AE639" i="225"/>
  <c r="AB639" i="225"/>
  <c r="Y639" i="225"/>
  <c r="V639" i="225"/>
  <c r="S639" i="225"/>
  <c r="P639" i="225"/>
  <c r="FG638" i="225"/>
  <c r="FD638" i="225"/>
  <c r="FA638" i="225"/>
  <c r="EX638" i="225"/>
  <c r="EU638" i="225"/>
  <c r="ER638" i="225"/>
  <c r="EO638" i="225"/>
  <c r="EL638" i="225"/>
  <c r="EI638" i="225"/>
  <c r="EF638" i="225"/>
  <c r="EC638" i="225"/>
  <c r="DZ638" i="225"/>
  <c r="DW638" i="225"/>
  <c r="DT638" i="225"/>
  <c r="DQ638" i="225"/>
  <c r="DN638" i="225"/>
  <c r="DK638" i="225"/>
  <c r="DH638" i="225"/>
  <c r="DE638" i="225"/>
  <c r="DB638" i="225"/>
  <c r="CY638" i="225"/>
  <c r="CV638" i="225"/>
  <c r="CS638" i="225"/>
  <c r="CP638" i="225"/>
  <c r="CM638" i="225"/>
  <c r="CJ638" i="225"/>
  <c r="CG638" i="225"/>
  <c r="CD638" i="225"/>
  <c r="CA638" i="225"/>
  <c r="BX638" i="225"/>
  <c r="BU638" i="225"/>
  <c r="BR638" i="225"/>
  <c r="BO638" i="225"/>
  <c r="BL638" i="225"/>
  <c r="BI638" i="225"/>
  <c r="BF638" i="225"/>
  <c r="BC638" i="225"/>
  <c r="AZ638" i="225"/>
  <c r="AW638" i="225"/>
  <c r="AT638" i="225"/>
  <c r="AQ638" i="225"/>
  <c r="AN638" i="225"/>
  <c r="AK638" i="225"/>
  <c r="AH638" i="225"/>
  <c r="AE638" i="225"/>
  <c r="AB638" i="225"/>
  <c r="Y638" i="225"/>
  <c r="V638" i="225"/>
  <c r="S638" i="225"/>
  <c r="P638" i="225"/>
  <c r="FG637" i="225"/>
  <c r="FD637" i="225"/>
  <c r="FA637" i="225"/>
  <c r="EX637" i="225"/>
  <c r="EU637" i="225"/>
  <c r="ER637" i="225"/>
  <c r="EO637" i="225"/>
  <c r="EL637" i="225"/>
  <c r="EI637" i="225"/>
  <c r="EF637" i="225"/>
  <c r="EC637" i="225"/>
  <c r="DZ637" i="225"/>
  <c r="DW637" i="225"/>
  <c r="DT637" i="225"/>
  <c r="DQ637" i="225"/>
  <c r="DN637" i="225"/>
  <c r="DK637" i="225"/>
  <c r="DH637" i="225"/>
  <c r="DE637" i="225"/>
  <c r="DB637" i="225"/>
  <c r="CY637" i="225"/>
  <c r="CV637" i="225"/>
  <c r="CS637" i="225"/>
  <c r="CP637" i="225"/>
  <c r="CM637" i="225"/>
  <c r="CJ637" i="225"/>
  <c r="CG637" i="225"/>
  <c r="CD637" i="225"/>
  <c r="CA637" i="225"/>
  <c r="BX637" i="225"/>
  <c r="BU637" i="225"/>
  <c r="BR637" i="225"/>
  <c r="BO637" i="225"/>
  <c r="BL637" i="225"/>
  <c r="BI637" i="225"/>
  <c r="BF637" i="225"/>
  <c r="BC637" i="225"/>
  <c r="AZ637" i="225"/>
  <c r="AW637" i="225"/>
  <c r="AT637" i="225"/>
  <c r="AQ637" i="225"/>
  <c r="AN637" i="225"/>
  <c r="AK637" i="225"/>
  <c r="AH637" i="225"/>
  <c r="AE637" i="225"/>
  <c r="AB637" i="225"/>
  <c r="Y637" i="225"/>
  <c r="V637" i="225"/>
  <c r="S637" i="225"/>
  <c r="P637" i="225"/>
  <c r="FF636" i="225"/>
  <c r="FE636" i="225"/>
  <c r="FG636" i="225" s="1"/>
  <c r="FC636" i="225"/>
  <c r="FB636" i="225"/>
  <c r="FD636" i="225" s="1"/>
  <c r="EZ636" i="225"/>
  <c r="EY636" i="225"/>
  <c r="FA636" i="225" s="1"/>
  <c r="EW636" i="225"/>
  <c r="EV636" i="225"/>
  <c r="EX636" i="225" s="1"/>
  <c r="ET636" i="225"/>
  <c r="ES636" i="225"/>
  <c r="EU636" i="225" s="1"/>
  <c r="EQ636" i="225"/>
  <c r="EP636" i="225"/>
  <c r="ER636" i="225" s="1"/>
  <c r="EN636" i="225"/>
  <c r="EM636" i="225"/>
  <c r="EO636" i="225" s="1"/>
  <c r="EK636" i="225"/>
  <c r="EJ636" i="225"/>
  <c r="EL636" i="225" s="1"/>
  <c r="EH636" i="225"/>
  <c r="EG636" i="225"/>
  <c r="EI636" i="225" s="1"/>
  <c r="EE636" i="225"/>
  <c r="ED636" i="225"/>
  <c r="EF636" i="225" s="1"/>
  <c r="EB636" i="225"/>
  <c r="EA636" i="225"/>
  <c r="EC636" i="225" s="1"/>
  <c r="DY636" i="225"/>
  <c r="DX636" i="225"/>
  <c r="DZ636" i="225" s="1"/>
  <c r="DV636" i="225"/>
  <c r="DU636" i="225"/>
  <c r="DW636" i="225" s="1"/>
  <c r="DS636" i="225"/>
  <c r="DR636" i="225"/>
  <c r="DT636" i="225" s="1"/>
  <c r="DP636" i="225"/>
  <c r="DO636" i="225"/>
  <c r="DQ636" i="225" s="1"/>
  <c r="DM636" i="225"/>
  <c r="DL636" i="225"/>
  <c r="DN636" i="225" s="1"/>
  <c r="DJ636" i="225"/>
  <c r="DI636" i="225"/>
  <c r="DK636" i="225" s="1"/>
  <c r="DG636" i="225"/>
  <c r="DF636" i="225"/>
  <c r="DH636" i="225" s="1"/>
  <c r="DD636" i="225"/>
  <c r="DC636" i="225"/>
  <c r="DE636" i="225" s="1"/>
  <c r="DA636" i="225"/>
  <c r="CZ636" i="225"/>
  <c r="DB636" i="225" s="1"/>
  <c r="CX636" i="225"/>
  <c r="CW636" i="225"/>
  <c r="CY636" i="225" s="1"/>
  <c r="CU636" i="225"/>
  <c r="CT636" i="225"/>
  <c r="CV636" i="225" s="1"/>
  <c r="CR636" i="225"/>
  <c r="CQ636" i="225"/>
  <c r="CS636" i="225" s="1"/>
  <c r="CO636" i="225"/>
  <c r="CN636" i="225"/>
  <c r="CP636" i="225" s="1"/>
  <c r="CL636" i="225"/>
  <c r="CK636" i="225"/>
  <c r="CM636" i="225" s="1"/>
  <c r="CI636" i="225"/>
  <c r="CH636" i="225"/>
  <c r="CJ636" i="225" s="1"/>
  <c r="CF636" i="225"/>
  <c r="CE636" i="225"/>
  <c r="CG636" i="225" s="1"/>
  <c r="CC636" i="225"/>
  <c r="CB636" i="225"/>
  <c r="CD636" i="225" s="1"/>
  <c r="BZ636" i="225"/>
  <c r="BY636" i="225"/>
  <c r="CA636" i="225" s="1"/>
  <c r="BW636" i="225"/>
  <c r="BV636" i="225"/>
  <c r="BX636" i="225" s="1"/>
  <c r="BT636" i="225"/>
  <c r="BS636" i="225"/>
  <c r="BU636" i="225" s="1"/>
  <c r="BQ636" i="225"/>
  <c r="BP636" i="225"/>
  <c r="BR636" i="225" s="1"/>
  <c r="BN636" i="225"/>
  <c r="BM636" i="225"/>
  <c r="BO636" i="225" s="1"/>
  <c r="BK636" i="225"/>
  <c r="BJ636" i="225"/>
  <c r="BL636" i="225" s="1"/>
  <c r="BH636" i="225"/>
  <c r="BG636" i="225"/>
  <c r="BI636" i="225" s="1"/>
  <c r="BE636" i="225"/>
  <c r="BD636" i="225"/>
  <c r="BF636" i="225" s="1"/>
  <c r="BB636" i="225"/>
  <c r="BA636" i="225"/>
  <c r="BC636" i="225" s="1"/>
  <c r="AY636" i="225"/>
  <c r="AX636" i="225"/>
  <c r="AZ636" i="225" s="1"/>
  <c r="AV636" i="225"/>
  <c r="AU636" i="225"/>
  <c r="AW636" i="225" s="1"/>
  <c r="AS636" i="225"/>
  <c r="AR636" i="225"/>
  <c r="AT636" i="225" s="1"/>
  <c r="AP636" i="225"/>
  <c r="AO636" i="225"/>
  <c r="AQ636" i="225" s="1"/>
  <c r="AM636" i="225"/>
  <c r="AL636" i="225"/>
  <c r="AN636" i="225" s="1"/>
  <c r="AJ636" i="225"/>
  <c r="AI636" i="225"/>
  <c r="AK636" i="225" s="1"/>
  <c r="AG636" i="225"/>
  <c r="AF636" i="225"/>
  <c r="AH636" i="225" s="1"/>
  <c r="AD636" i="225"/>
  <c r="AC636" i="225"/>
  <c r="AE636" i="225" s="1"/>
  <c r="AA636" i="225"/>
  <c r="Z636" i="225"/>
  <c r="AB636" i="225" s="1"/>
  <c r="X636" i="225"/>
  <c r="W636" i="225"/>
  <c r="Y636" i="225" s="1"/>
  <c r="U636" i="225"/>
  <c r="T636" i="225"/>
  <c r="V636" i="225" s="1"/>
  <c r="R636" i="225"/>
  <c r="Q636" i="225"/>
  <c r="S636" i="225" s="1"/>
  <c r="O636" i="225"/>
  <c r="N636" i="225"/>
  <c r="P636" i="225" s="1"/>
  <c r="D636" i="225"/>
  <c r="D637" i="225" s="1"/>
  <c r="D638" i="225" s="1"/>
  <c r="D639" i="225" s="1"/>
  <c r="D640" i="225" s="1"/>
  <c r="G635" i="225"/>
  <c r="G636" i="225" s="1"/>
  <c r="G637" i="225" s="1"/>
  <c r="G638" i="225" s="1"/>
  <c r="G639" i="225" s="1"/>
  <c r="G640" i="225" s="1"/>
  <c r="A635" i="225"/>
  <c r="A636" i="225" s="1"/>
  <c r="A637" i="225" s="1"/>
  <c r="A638" i="225" s="1"/>
  <c r="A639" i="225" s="1"/>
  <c r="A640" i="225" s="1"/>
  <c r="FG633" i="225"/>
  <c r="FD633" i="225"/>
  <c r="FA633" i="225"/>
  <c r="EX633" i="225"/>
  <c r="EU633" i="225"/>
  <c r="ER633" i="225"/>
  <c r="EO633" i="225"/>
  <c r="EL633" i="225"/>
  <c r="EI633" i="225"/>
  <c r="EF633" i="225"/>
  <c r="EC633" i="225"/>
  <c r="DZ633" i="225"/>
  <c r="DW633" i="225"/>
  <c r="DT633" i="225"/>
  <c r="DQ633" i="225"/>
  <c r="DN633" i="225"/>
  <c r="DK633" i="225"/>
  <c r="DH633" i="225"/>
  <c r="DE633" i="225"/>
  <c r="DB633" i="225"/>
  <c r="CY633" i="225"/>
  <c r="CV633" i="225"/>
  <c r="CS633" i="225"/>
  <c r="CP633" i="225"/>
  <c r="CM633" i="225"/>
  <c r="CJ633" i="225"/>
  <c r="CG633" i="225"/>
  <c r="CD633" i="225"/>
  <c r="CA633" i="225"/>
  <c r="BX633" i="225"/>
  <c r="BU633" i="225"/>
  <c r="BR633" i="225"/>
  <c r="BO633" i="225"/>
  <c r="BL633" i="225"/>
  <c r="BI633" i="225"/>
  <c r="BF633" i="225"/>
  <c r="BC633" i="225"/>
  <c r="AZ633" i="225"/>
  <c r="AW633" i="225"/>
  <c r="AT633" i="225"/>
  <c r="AQ633" i="225"/>
  <c r="AN633" i="225"/>
  <c r="AK633" i="225"/>
  <c r="AH633" i="225"/>
  <c r="AE633" i="225"/>
  <c r="AB633" i="225"/>
  <c r="Y633" i="225"/>
  <c r="V633" i="225"/>
  <c r="S633" i="225"/>
  <c r="P633" i="225"/>
  <c r="FG632" i="225"/>
  <c r="FD632" i="225"/>
  <c r="FA632" i="225"/>
  <c r="EX632" i="225"/>
  <c r="EU632" i="225"/>
  <c r="ER632" i="225"/>
  <c r="EO632" i="225"/>
  <c r="EL632" i="225"/>
  <c r="EI632" i="225"/>
  <c r="EF632" i="225"/>
  <c r="EC632" i="225"/>
  <c r="DZ632" i="225"/>
  <c r="DW632" i="225"/>
  <c r="DT632" i="225"/>
  <c r="DQ632" i="225"/>
  <c r="DN632" i="225"/>
  <c r="DK632" i="225"/>
  <c r="DH632" i="225"/>
  <c r="DE632" i="225"/>
  <c r="DB632" i="225"/>
  <c r="CY632" i="225"/>
  <c r="CV632" i="225"/>
  <c r="CS632" i="225"/>
  <c r="CP632" i="225"/>
  <c r="CM632" i="225"/>
  <c r="CJ632" i="225"/>
  <c r="CG632" i="225"/>
  <c r="CD632" i="225"/>
  <c r="CA632" i="225"/>
  <c r="BX632" i="225"/>
  <c r="BU632" i="225"/>
  <c r="BR632" i="225"/>
  <c r="BO632" i="225"/>
  <c r="BL632" i="225"/>
  <c r="BI632" i="225"/>
  <c r="BF632" i="225"/>
  <c r="BC632" i="225"/>
  <c r="AZ632" i="225"/>
  <c r="AW632" i="225"/>
  <c r="AT632" i="225"/>
  <c r="AQ632" i="225"/>
  <c r="AN632" i="225"/>
  <c r="AK632" i="225"/>
  <c r="AH632" i="225"/>
  <c r="AE632" i="225"/>
  <c r="AB632" i="225"/>
  <c r="Y632" i="225"/>
  <c r="V632" i="225"/>
  <c r="S632" i="225"/>
  <c r="P632" i="225"/>
  <c r="G632" i="225"/>
  <c r="G633" i="225" s="1"/>
  <c r="D632" i="225"/>
  <c r="D633" i="225" s="1"/>
  <c r="A632" i="225"/>
  <c r="A633" i="225" s="1"/>
  <c r="FF629" i="225"/>
  <c r="FE629" i="225"/>
  <c r="FC629" i="225"/>
  <c r="FB629" i="225"/>
  <c r="EZ629" i="225"/>
  <c r="EY629" i="225"/>
  <c r="EW629" i="225"/>
  <c r="EV629" i="225"/>
  <c r="ET629" i="225"/>
  <c r="ES629" i="225"/>
  <c r="EQ629" i="225"/>
  <c r="EP629" i="225"/>
  <c r="EN629" i="225"/>
  <c r="EM629" i="225"/>
  <c r="EK629" i="225"/>
  <c r="EJ629" i="225"/>
  <c r="EH629" i="225"/>
  <c r="EG629" i="225"/>
  <c r="EE629" i="225"/>
  <c r="ED629" i="225"/>
  <c r="EB629" i="225"/>
  <c r="EA629" i="225"/>
  <c r="DY629" i="225"/>
  <c r="DX629" i="225"/>
  <c r="DV629" i="225"/>
  <c r="DU629" i="225"/>
  <c r="DS629" i="225"/>
  <c r="DR629" i="225"/>
  <c r="DP629" i="225"/>
  <c r="DO629" i="225"/>
  <c r="DM629" i="225"/>
  <c r="DL629" i="225"/>
  <c r="DJ629" i="225"/>
  <c r="DI629" i="225"/>
  <c r="DG629" i="225"/>
  <c r="DF629" i="225"/>
  <c r="DD629" i="225"/>
  <c r="DC629" i="225"/>
  <c r="DA629" i="225"/>
  <c r="CZ629" i="225"/>
  <c r="CX629" i="225"/>
  <c r="CW629" i="225"/>
  <c r="CU629" i="225"/>
  <c r="CT629" i="225"/>
  <c r="CR629" i="225"/>
  <c r="CQ629" i="225"/>
  <c r="CO629" i="225"/>
  <c r="CN629" i="225"/>
  <c r="CL629" i="225"/>
  <c r="CK629" i="225"/>
  <c r="CI629" i="225"/>
  <c r="CH629" i="225"/>
  <c r="CF629" i="225"/>
  <c r="CE629" i="225"/>
  <c r="CC629" i="225"/>
  <c r="CB629" i="225"/>
  <c r="BZ629" i="225"/>
  <c r="BY629" i="225"/>
  <c r="BW629" i="225"/>
  <c r="BV629" i="225"/>
  <c r="BT629" i="225"/>
  <c r="BS629" i="225"/>
  <c r="BQ629" i="225"/>
  <c r="BP629" i="225"/>
  <c r="BN629" i="225"/>
  <c r="BM629" i="225"/>
  <c r="BK629" i="225"/>
  <c r="BJ629" i="225"/>
  <c r="BH629" i="225"/>
  <c r="BG629" i="225"/>
  <c r="BE629" i="225"/>
  <c r="BD629" i="225"/>
  <c r="BB629" i="225"/>
  <c r="BA629" i="225"/>
  <c r="AY629" i="225"/>
  <c r="AX629" i="225"/>
  <c r="AV629" i="225"/>
  <c r="AU629" i="225"/>
  <c r="AS629" i="225"/>
  <c r="AR629" i="225"/>
  <c r="AP629" i="225"/>
  <c r="AO629" i="225"/>
  <c r="AM629" i="225"/>
  <c r="AL629" i="225"/>
  <c r="AJ629" i="225"/>
  <c r="AI629" i="225"/>
  <c r="AG629" i="225"/>
  <c r="AF629" i="225"/>
  <c r="AD629" i="225"/>
  <c r="AC629" i="225"/>
  <c r="AA629" i="225"/>
  <c r="Z629" i="225"/>
  <c r="X629" i="225"/>
  <c r="W629" i="225"/>
  <c r="U629" i="225"/>
  <c r="T629" i="225"/>
  <c r="R629" i="225"/>
  <c r="Q629" i="225"/>
  <c r="O629" i="225"/>
  <c r="N629" i="225"/>
  <c r="FG628" i="225"/>
  <c r="FD628" i="225"/>
  <c r="FA628" i="225"/>
  <c r="EX628" i="225"/>
  <c r="EU628" i="225"/>
  <c r="ER628" i="225"/>
  <c r="EO628" i="225"/>
  <c r="EL628" i="225"/>
  <c r="EI628" i="225"/>
  <c r="EF628" i="225"/>
  <c r="EC628" i="225"/>
  <c r="DZ628" i="225"/>
  <c r="DW628" i="225"/>
  <c r="DT628" i="225"/>
  <c r="DQ628" i="225"/>
  <c r="DN628" i="225"/>
  <c r="DK628" i="225"/>
  <c r="DH628" i="225"/>
  <c r="DE628" i="225"/>
  <c r="DB628" i="225"/>
  <c r="CY628" i="225"/>
  <c r="CV628" i="225"/>
  <c r="CS628" i="225"/>
  <c r="CP628" i="225"/>
  <c r="CM628" i="225"/>
  <c r="CJ628" i="225"/>
  <c r="CG628" i="225"/>
  <c r="CD628" i="225"/>
  <c r="CA628" i="225"/>
  <c r="BX628" i="225"/>
  <c r="BU628" i="225"/>
  <c r="BR628" i="225"/>
  <c r="BO628" i="225"/>
  <c r="BL628" i="225"/>
  <c r="BI628" i="225"/>
  <c r="BF628" i="225"/>
  <c r="BC628" i="225"/>
  <c r="AZ628" i="225"/>
  <c r="AW628" i="225"/>
  <c r="AT628" i="225"/>
  <c r="AQ628" i="225"/>
  <c r="AN628" i="225"/>
  <c r="AK628" i="225"/>
  <c r="AH628" i="225"/>
  <c r="AE628" i="225"/>
  <c r="AB628" i="225"/>
  <c r="Y628" i="225"/>
  <c r="V628" i="225"/>
  <c r="S628" i="225"/>
  <c r="P628" i="225"/>
  <c r="FG627" i="225"/>
  <c r="FD627" i="225"/>
  <c r="FA627" i="225"/>
  <c r="EX627" i="225"/>
  <c r="EU627" i="225"/>
  <c r="ER627" i="225"/>
  <c r="EO627" i="225"/>
  <c r="EL627" i="225"/>
  <c r="EI627" i="225"/>
  <c r="EF627" i="225"/>
  <c r="EC627" i="225"/>
  <c r="DZ627" i="225"/>
  <c r="DW627" i="225"/>
  <c r="DT627" i="225"/>
  <c r="DQ627" i="225"/>
  <c r="DN627" i="225"/>
  <c r="DK627" i="225"/>
  <c r="DH627" i="225"/>
  <c r="DE627" i="225"/>
  <c r="DB627" i="225"/>
  <c r="CY627" i="225"/>
  <c r="CV627" i="225"/>
  <c r="CS627" i="225"/>
  <c r="CP627" i="225"/>
  <c r="CM627" i="225"/>
  <c r="CJ627" i="225"/>
  <c r="CG627" i="225"/>
  <c r="CD627" i="225"/>
  <c r="CA627" i="225"/>
  <c r="BX627" i="225"/>
  <c r="BU627" i="225"/>
  <c r="BR627" i="225"/>
  <c r="BO627" i="225"/>
  <c r="BL627" i="225"/>
  <c r="BI627" i="225"/>
  <c r="BF627" i="225"/>
  <c r="BC627" i="225"/>
  <c r="AZ627" i="225"/>
  <c r="AW627" i="225"/>
  <c r="AT627" i="225"/>
  <c r="AQ627" i="225"/>
  <c r="AN627" i="225"/>
  <c r="AK627" i="225"/>
  <c r="AH627" i="225"/>
  <c r="AE627" i="225"/>
  <c r="AB627" i="225"/>
  <c r="Y627" i="225"/>
  <c r="V627" i="225"/>
  <c r="S627" i="225"/>
  <c r="P627" i="225"/>
  <c r="A624" i="225"/>
  <c r="A625" i="225" s="1"/>
  <c r="N625" i="225" s="1"/>
  <c r="N623" i="225"/>
  <c r="FG620" i="225"/>
  <c r="FD620" i="225"/>
  <c r="FA620" i="225"/>
  <c r="EX620" i="225"/>
  <c r="EU620" i="225"/>
  <c r="ER620" i="225"/>
  <c r="EO620" i="225"/>
  <c r="EL620" i="225"/>
  <c r="EI620" i="225"/>
  <c r="EF620" i="225"/>
  <c r="EC620" i="225"/>
  <c r="DZ620" i="225"/>
  <c r="DW620" i="225"/>
  <c r="DT620" i="225"/>
  <c r="DQ620" i="225"/>
  <c r="DN620" i="225"/>
  <c r="DK620" i="225"/>
  <c r="DH620" i="225"/>
  <c r="DE620" i="225"/>
  <c r="DB620" i="225"/>
  <c r="CY620" i="225"/>
  <c r="CV620" i="225"/>
  <c r="CS620" i="225"/>
  <c r="CP620" i="225"/>
  <c r="CM620" i="225"/>
  <c r="CJ620" i="225"/>
  <c r="CG620" i="225"/>
  <c r="CD620" i="225"/>
  <c r="CA620" i="225"/>
  <c r="BX620" i="225"/>
  <c r="BU620" i="225"/>
  <c r="BR620" i="225"/>
  <c r="BO620" i="225"/>
  <c r="BL620" i="225"/>
  <c r="BI620" i="225"/>
  <c r="BF620" i="225"/>
  <c r="BC620" i="225"/>
  <c r="AZ620" i="225"/>
  <c r="AW620" i="225"/>
  <c r="AT620" i="225"/>
  <c r="AQ620" i="225"/>
  <c r="AN620" i="225"/>
  <c r="AK620" i="225"/>
  <c r="AH620" i="225"/>
  <c r="AE620" i="225"/>
  <c r="AB620" i="225"/>
  <c r="Y620" i="225"/>
  <c r="V620" i="225"/>
  <c r="S620" i="225"/>
  <c r="P620" i="225"/>
  <c r="FG619" i="225"/>
  <c r="FD619" i="225"/>
  <c r="FA619" i="225"/>
  <c r="EX619" i="225"/>
  <c r="EU619" i="225"/>
  <c r="ER619" i="225"/>
  <c r="EO619" i="225"/>
  <c r="EL619" i="225"/>
  <c r="EI619" i="225"/>
  <c r="EF619" i="225"/>
  <c r="EC619" i="225"/>
  <c r="DZ619" i="225"/>
  <c r="DW619" i="225"/>
  <c r="DT619" i="225"/>
  <c r="DQ619" i="225"/>
  <c r="DN619" i="225"/>
  <c r="DK619" i="225"/>
  <c r="DH619" i="225"/>
  <c r="DE619" i="225"/>
  <c r="DB619" i="225"/>
  <c r="CY619" i="225"/>
  <c r="CV619" i="225"/>
  <c r="CS619" i="225"/>
  <c r="CP619" i="225"/>
  <c r="CM619" i="225"/>
  <c r="CJ619" i="225"/>
  <c r="CG619" i="225"/>
  <c r="CD619" i="225"/>
  <c r="CA619" i="225"/>
  <c r="BX619" i="225"/>
  <c r="BU619" i="225"/>
  <c r="BR619" i="225"/>
  <c r="BO619" i="225"/>
  <c r="BL619" i="225"/>
  <c r="BI619" i="225"/>
  <c r="BF619" i="225"/>
  <c r="BC619" i="225"/>
  <c r="AZ619" i="225"/>
  <c r="AW619" i="225"/>
  <c r="AT619" i="225"/>
  <c r="AQ619" i="225"/>
  <c r="AN619" i="225"/>
  <c r="AK619" i="225"/>
  <c r="AH619" i="225"/>
  <c r="AE619" i="225"/>
  <c r="AB619" i="225"/>
  <c r="Y619" i="225"/>
  <c r="V619" i="225"/>
  <c r="S619" i="225"/>
  <c r="P619" i="225"/>
  <c r="FG618" i="225"/>
  <c r="FD618" i="225"/>
  <c r="FA618" i="225"/>
  <c r="EX618" i="225"/>
  <c r="EU618" i="225"/>
  <c r="ER618" i="225"/>
  <c r="EO618" i="225"/>
  <c r="EL618" i="225"/>
  <c r="EI618" i="225"/>
  <c r="EF618" i="225"/>
  <c r="EC618" i="225"/>
  <c r="DZ618" i="225"/>
  <c r="DW618" i="225"/>
  <c r="DT618" i="225"/>
  <c r="DQ618" i="225"/>
  <c r="DN618" i="225"/>
  <c r="DK618" i="225"/>
  <c r="DH618" i="225"/>
  <c r="DE618" i="225"/>
  <c r="DB618" i="225"/>
  <c r="CY618" i="225"/>
  <c r="CV618" i="225"/>
  <c r="CS618" i="225"/>
  <c r="CP618" i="225"/>
  <c r="CM618" i="225"/>
  <c r="CJ618" i="225"/>
  <c r="CG618" i="225"/>
  <c r="CD618" i="225"/>
  <c r="CA618" i="225"/>
  <c r="BX618" i="225"/>
  <c r="BU618" i="225"/>
  <c r="BR618" i="225"/>
  <c r="BO618" i="225"/>
  <c r="BL618" i="225"/>
  <c r="BI618" i="225"/>
  <c r="BF618" i="225"/>
  <c r="BC618" i="225"/>
  <c r="AZ618" i="225"/>
  <c r="AW618" i="225"/>
  <c r="AT618" i="225"/>
  <c r="FG617" i="225"/>
  <c r="FD617" i="225"/>
  <c r="FA617" i="225"/>
  <c r="EX617" i="225"/>
  <c r="EU617" i="225"/>
  <c r="ER617" i="225"/>
  <c r="EO617" i="225"/>
  <c r="EL617" i="225"/>
  <c r="EI617" i="225"/>
  <c r="EF617" i="225"/>
  <c r="EC617" i="225"/>
  <c r="DZ617" i="225"/>
  <c r="DW617" i="225"/>
  <c r="DT617" i="225"/>
  <c r="DQ617" i="225"/>
  <c r="DN617" i="225"/>
  <c r="DK617" i="225"/>
  <c r="DH617" i="225"/>
  <c r="DE617" i="225"/>
  <c r="DB617" i="225"/>
  <c r="CY617" i="225"/>
  <c r="CV617" i="225"/>
  <c r="CS617" i="225"/>
  <c r="CP617" i="225"/>
  <c r="CM617" i="225"/>
  <c r="CJ617" i="225"/>
  <c r="CG617" i="225"/>
  <c r="CD617" i="225"/>
  <c r="CA617" i="225"/>
  <c r="BX617" i="225"/>
  <c r="BU617" i="225"/>
  <c r="BR617" i="225"/>
  <c r="BO617" i="225"/>
  <c r="BL617" i="225"/>
  <c r="BI617" i="225"/>
  <c r="BF617" i="225"/>
  <c r="BC617" i="225"/>
  <c r="AZ617" i="225"/>
  <c r="AW617" i="225"/>
  <c r="AT617" i="225"/>
  <c r="AQ617" i="225"/>
  <c r="AN617" i="225"/>
  <c r="AK617" i="225"/>
  <c r="AH617" i="225"/>
  <c r="AE617" i="225"/>
  <c r="AB617" i="225"/>
  <c r="Y617" i="225"/>
  <c r="V617" i="225"/>
  <c r="S617" i="225"/>
  <c r="P617" i="225"/>
  <c r="FF616" i="225"/>
  <c r="FE616" i="225"/>
  <c r="FG616" i="225" s="1"/>
  <c r="FC616" i="225"/>
  <c r="FB616" i="225"/>
  <c r="FD616" i="225" s="1"/>
  <c r="EZ616" i="225"/>
  <c r="EY616" i="225"/>
  <c r="FA616" i="225" s="1"/>
  <c r="EW616" i="225"/>
  <c r="EV616" i="225"/>
  <c r="EX616" i="225" s="1"/>
  <c r="ET616" i="225"/>
  <c r="ES616" i="225"/>
  <c r="EU616" i="225" s="1"/>
  <c r="EQ616" i="225"/>
  <c r="EP616" i="225"/>
  <c r="ER616" i="225" s="1"/>
  <c r="EN616" i="225"/>
  <c r="EM616" i="225"/>
  <c r="EO616" i="225" s="1"/>
  <c r="EK616" i="225"/>
  <c r="EJ616" i="225"/>
  <c r="EL616" i="225" s="1"/>
  <c r="EH616" i="225"/>
  <c r="EG616" i="225"/>
  <c r="EI616" i="225" s="1"/>
  <c r="EE616" i="225"/>
  <c r="ED616" i="225"/>
  <c r="EF616" i="225" s="1"/>
  <c r="EB616" i="225"/>
  <c r="EA616" i="225"/>
  <c r="EC616" i="225" s="1"/>
  <c r="DY616" i="225"/>
  <c r="DX616" i="225"/>
  <c r="DZ616" i="225" s="1"/>
  <c r="DV616" i="225"/>
  <c r="DU616" i="225"/>
  <c r="DW616" i="225" s="1"/>
  <c r="DS616" i="225"/>
  <c r="DR616" i="225"/>
  <c r="DT616" i="225" s="1"/>
  <c r="DP616" i="225"/>
  <c r="DO616" i="225"/>
  <c r="DQ616" i="225" s="1"/>
  <c r="DM616" i="225"/>
  <c r="DL616" i="225"/>
  <c r="DN616" i="225" s="1"/>
  <c r="DJ616" i="225"/>
  <c r="DI616" i="225"/>
  <c r="DK616" i="225" s="1"/>
  <c r="DG616" i="225"/>
  <c r="DF616" i="225"/>
  <c r="DH616" i="225" s="1"/>
  <c r="DD616" i="225"/>
  <c r="DC616" i="225"/>
  <c r="DE616" i="225" s="1"/>
  <c r="DA616" i="225"/>
  <c r="CZ616" i="225"/>
  <c r="DB616" i="225" s="1"/>
  <c r="CX616" i="225"/>
  <c r="CW616" i="225"/>
  <c r="CY616" i="225" s="1"/>
  <c r="CU616" i="225"/>
  <c r="CT616" i="225"/>
  <c r="CV616" i="225" s="1"/>
  <c r="CR616" i="225"/>
  <c r="CQ616" i="225"/>
  <c r="CS616" i="225" s="1"/>
  <c r="CO616" i="225"/>
  <c r="CN616" i="225"/>
  <c r="CP616" i="225" s="1"/>
  <c r="CL616" i="225"/>
  <c r="CK616" i="225"/>
  <c r="CM616" i="225" s="1"/>
  <c r="CI616" i="225"/>
  <c r="CH616" i="225"/>
  <c r="CJ616" i="225" s="1"/>
  <c r="CF616" i="225"/>
  <c r="CE616" i="225"/>
  <c r="CG616" i="225" s="1"/>
  <c r="CC616" i="225"/>
  <c r="CB616" i="225"/>
  <c r="CD616" i="225" s="1"/>
  <c r="BZ616" i="225"/>
  <c r="BY616" i="225"/>
  <c r="CA616" i="225" s="1"/>
  <c r="BW616" i="225"/>
  <c r="BV616" i="225"/>
  <c r="BX616" i="225" s="1"/>
  <c r="BT616" i="225"/>
  <c r="BS616" i="225"/>
  <c r="BU616" i="225" s="1"/>
  <c r="BQ616" i="225"/>
  <c r="BP616" i="225"/>
  <c r="BR616" i="225" s="1"/>
  <c r="BN616" i="225"/>
  <c r="BM616" i="225"/>
  <c r="BO616" i="225" s="1"/>
  <c r="BK616" i="225"/>
  <c r="BJ616" i="225"/>
  <c r="BL616" i="225" s="1"/>
  <c r="BH616" i="225"/>
  <c r="BG616" i="225"/>
  <c r="BI616" i="225" s="1"/>
  <c r="BE616" i="225"/>
  <c r="BD616" i="225"/>
  <c r="BF616" i="225" s="1"/>
  <c r="BB616" i="225"/>
  <c r="BA616" i="225"/>
  <c r="BC616" i="225" s="1"/>
  <c r="AY616" i="225"/>
  <c r="AX616" i="225"/>
  <c r="AZ616" i="225" s="1"/>
  <c r="AV616" i="225"/>
  <c r="AU616" i="225"/>
  <c r="AW616" i="225" s="1"/>
  <c r="AS616" i="225"/>
  <c r="AR616" i="225"/>
  <c r="AT616" i="225" s="1"/>
  <c r="FG614" i="225"/>
  <c r="FD614" i="225"/>
  <c r="FA614" i="225"/>
  <c r="EX614" i="225"/>
  <c r="EU614" i="225"/>
  <c r="ER614" i="225"/>
  <c r="EO614" i="225"/>
  <c r="EL614" i="225"/>
  <c r="EI614" i="225"/>
  <c r="EF614" i="225"/>
  <c r="EC614" i="225"/>
  <c r="DZ614" i="225"/>
  <c r="DW614" i="225"/>
  <c r="DT614" i="225"/>
  <c r="DQ614" i="225"/>
  <c r="DN614" i="225"/>
  <c r="DK614" i="225"/>
  <c r="DH614" i="225"/>
  <c r="DE614" i="225"/>
  <c r="DB614" i="225"/>
  <c r="CY614" i="225"/>
  <c r="CV614" i="225"/>
  <c r="CS614" i="225"/>
  <c r="CP614" i="225"/>
  <c r="CM614" i="225"/>
  <c r="CJ614" i="225"/>
  <c r="CG614" i="225"/>
  <c r="CD614" i="225"/>
  <c r="CA614" i="225"/>
  <c r="BX614" i="225"/>
  <c r="BU614" i="225"/>
  <c r="BR614" i="225"/>
  <c r="BO614" i="225"/>
  <c r="BL614" i="225"/>
  <c r="BI614" i="225"/>
  <c r="BF614" i="225"/>
  <c r="BC614" i="225"/>
  <c r="AZ614" i="225"/>
  <c r="AW614" i="225"/>
  <c r="AT614" i="225"/>
  <c r="AQ614" i="225"/>
  <c r="AN614" i="225"/>
  <c r="AK614" i="225"/>
  <c r="AH614" i="225"/>
  <c r="AE614" i="225"/>
  <c r="AB614" i="225"/>
  <c r="Y614" i="225"/>
  <c r="V614" i="225"/>
  <c r="S614" i="225"/>
  <c r="P614" i="225"/>
  <c r="FG613" i="225"/>
  <c r="FD613" i="225"/>
  <c r="FA613" i="225"/>
  <c r="EX613" i="225"/>
  <c r="EU613" i="225"/>
  <c r="ER613" i="225"/>
  <c r="EO613" i="225"/>
  <c r="EL613" i="225"/>
  <c r="EI613" i="225"/>
  <c r="EF613" i="225"/>
  <c r="EC613" i="225"/>
  <c r="DZ613" i="225"/>
  <c r="DW613" i="225"/>
  <c r="DT613" i="225"/>
  <c r="DQ613" i="225"/>
  <c r="DN613" i="225"/>
  <c r="DK613" i="225"/>
  <c r="DH613" i="225"/>
  <c r="DE613" i="225"/>
  <c r="DB613" i="225"/>
  <c r="CY613" i="225"/>
  <c r="CV613" i="225"/>
  <c r="CS613" i="225"/>
  <c r="CP613" i="225"/>
  <c r="CM613" i="225"/>
  <c r="CJ613" i="225"/>
  <c r="CG613" i="225"/>
  <c r="CD613" i="225"/>
  <c r="CA613" i="225"/>
  <c r="BX613" i="225"/>
  <c r="BU613" i="225"/>
  <c r="BR613" i="225"/>
  <c r="BO613" i="225"/>
  <c r="BL613" i="225"/>
  <c r="BI613" i="225"/>
  <c r="BF613" i="225"/>
  <c r="BC613" i="225"/>
  <c r="AZ613" i="225"/>
  <c r="AW613" i="225"/>
  <c r="AT613" i="225"/>
  <c r="AQ613" i="225"/>
  <c r="AN613" i="225"/>
  <c r="AK613" i="225"/>
  <c r="AH613" i="225"/>
  <c r="AE613" i="225"/>
  <c r="AB613" i="225"/>
  <c r="Y613" i="225"/>
  <c r="V613" i="225"/>
  <c r="S613" i="225"/>
  <c r="P613" i="225"/>
  <c r="FG612" i="225"/>
  <c r="FD612" i="225"/>
  <c r="FA612" i="225"/>
  <c r="EX612" i="225"/>
  <c r="EU612" i="225"/>
  <c r="ER612" i="225"/>
  <c r="EO612" i="225"/>
  <c r="EL612" i="225"/>
  <c r="EI612" i="225"/>
  <c r="EF612" i="225"/>
  <c r="EC612" i="225"/>
  <c r="DZ612" i="225"/>
  <c r="DW612" i="225"/>
  <c r="DT612" i="225"/>
  <c r="DQ612" i="225"/>
  <c r="DN612" i="225"/>
  <c r="DK612" i="225"/>
  <c r="DH612" i="225"/>
  <c r="DE612" i="225"/>
  <c r="DB612" i="225"/>
  <c r="CY612" i="225"/>
  <c r="CV612" i="225"/>
  <c r="CS612" i="225"/>
  <c r="CP612" i="225"/>
  <c r="CM612" i="225"/>
  <c r="CJ612" i="225"/>
  <c r="CG612" i="225"/>
  <c r="CD612" i="225"/>
  <c r="CA612" i="225"/>
  <c r="BX612" i="225"/>
  <c r="BU612" i="225"/>
  <c r="BR612" i="225"/>
  <c r="BO612" i="225"/>
  <c r="BL612" i="225"/>
  <c r="BI612" i="225"/>
  <c r="BF612" i="225"/>
  <c r="BC612" i="225"/>
  <c r="AZ612" i="225"/>
  <c r="AW612" i="225"/>
  <c r="AT612" i="225"/>
  <c r="FG611" i="225"/>
  <c r="FD611" i="225"/>
  <c r="FA611" i="225"/>
  <c r="EX611" i="225"/>
  <c r="EU611" i="225"/>
  <c r="ER611" i="225"/>
  <c r="EO611" i="225"/>
  <c r="EL611" i="225"/>
  <c r="EI611" i="225"/>
  <c r="EF611" i="225"/>
  <c r="EC611" i="225"/>
  <c r="DZ611" i="225"/>
  <c r="DW611" i="225"/>
  <c r="DT611" i="225"/>
  <c r="DQ611" i="225"/>
  <c r="DN611" i="225"/>
  <c r="DK611" i="225"/>
  <c r="DH611" i="225"/>
  <c r="DE611" i="225"/>
  <c r="DB611" i="225"/>
  <c r="CY611" i="225"/>
  <c r="CV611" i="225"/>
  <c r="CS611" i="225"/>
  <c r="CP611" i="225"/>
  <c r="CM611" i="225"/>
  <c r="CJ611" i="225"/>
  <c r="CG611" i="225"/>
  <c r="CD611" i="225"/>
  <c r="CA611" i="225"/>
  <c r="BX611" i="225"/>
  <c r="BU611" i="225"/>
  <c r="BR611" i="225"/>
  <c r="BO611" i="225"/>
  <c r="BL611" i="225"/>
  <c r="BI611" i="225"/>
  <c r="BF611" i="225"/>
  <c r="BC611" i="225"/>
  <c r="AZ611" i="225"/>
  <c r="AW611" i="225"/>
  <c r="AT611" i="225"/>
  <c r="AQ611" i="225"/>
  <c r="AN611" i="225"/>
  <c r="AK611" i="225"/>
  <c r="AH611" i="225"/>
  <c r="AE611" i="225"/>
  <c r="AB611" i="225"/>
  <c r="Y611" i="225"/>
  <c r="V611" i="225"/>
  <c r="S611" i="225"/>
  <c r="P611" i="225"/>
  <c r="FF610" i="225"/>
  <c r="FE610" i="225"/>
  <c r="FG610" i="225" s="1"/>
  <c r="FC610" i="225"/>
  <c r="FB610" i="225"/>
  <c r="FD610" i="225" s="1"/>
  <c r="EZ610" i="225"/>
  <c r="EY610" i="225"/>
  <c r="FA610" i="225" s="1"/>
  <c r="EW610" i="225"/>
  <c r="EV610" i="225"/>
  <c r="EX610" i="225" s="1"/>
  <c r="ET610" i="225"/>
  <c r="ES610" i="225"/>
  <c r="EU610" i="225" s="1"/>
  <c r="EQ610" i="225"/>
  <c r="EP610" i="225"/>
  <c r="ER610" i="225" s="1"/>
  <c r="EN610" i="225"/>
  <c r="EM610" i="225"/>
  <c r="EO610" i="225" s="1"/>
  <c r="EK610" i="225"/>
  <c r="EJ610" i="225"/>
  <c r="EL610" i="225" s="1"/>
  <c r="EH610" i="225"/>
  <c r="EG610" i="225"/>
  <c r="EI610" i="225" s="1"/>
  <c r="EE610" i="225"/>
  <c r="ED610" i="225"/>
  <c r="EF610" i="225" s="1"/>
  <c r="EB610" i="225"/>
  <c r="EA610" i="225"/>
  <c r="EC610" i="225" s="1"/>
  <c r="DY610" i="225"/>
  <c r="DX610" i="225"/>
  <c r="DZ610" i="225" s="1"/>
  <c r="DV610" i="225"/>
  <c r="DU610" i="225"/>
  <c r="DW610" i="225" s="1"/>
  <c r="DS610" i="225"/>
  <c r="DR610" i="225"/>
  <c r="DT610" i="225" s="1"/>
  <c r="DP610" i="225"/>
  <c r="DO610" i="225"/>
  <c r="DQ610" i="225" s="1"/>
  <c r="DM610" i="225"/>
  <c r="DL610" i="225"/>
  <c r="DN610" i="225" s="1"/>
  <c r="DJ610" i="225"/>
  <c r="DI610" i="225"/>
  <c r="DK610" i="225" s="1"/>
  <c r="DG610" i="225"/>
  <c r="DF610" i="225"/>
  <c r="DH610" i="225" s="1"/>
  <c r="DD610" i="225"/>
  <c r="DC610" i="225"/>
  <c r="DE610" i="225" s="1"/>
  <c r="DA610" i="225"/>
  <c r="CZ610" i="225"/>
  <c r="DB610" i="225" s="1"/>
  <c r="CX610" i="225"/>
  <c r="CW610" i="225"/>
  <c r="CY610" i="225" s="1"/>
  <c r="CU610" i="225"/>
  <c r="CT610" i="225"/>
  <c r="CV610" i="225" s="1"/>
  <c r="CR610" i="225"/>
  <c r="CQ610" i="225"/>
  <c r="CS610" i="225" s="1"/>
  <c r="CO610" i="225"/>
  <c r="CN610" i="225"/>
  <c r="CP610" i="225" s="1"/>
  <c r="CL610" i="225"/>
  <c r="CK610" i="225"/>
  <c r="CM610" i="225" s="1"/>
  <c r="CI610" i="225"/>
  <c r="CH610" i="225"/>
  <c r="CJ610" i="225" s="1"/>
  <c r="CF610" i="225"/>
  <c r="CE610" i="225"/>
  <c r="CG610" i="225" s="1"/>
  <c r="CC610" i="225"/>
  <c r="CB610" i="225"/>
  <c r="CD610" i="225" s="1"/>
  <c r="BZ610" i="225"/>
  <c r="BY610" i="225"/>
  <c r="CA610" i="225" s="1"/>
  <c r="BW610" i="225"/>
  <c r="BV610" i="225"/>
  <c r="BX610" i="225" s="1"/>
  <c r="BT610" i="225"/>
  <c r="BS610" i="225"/>
  <c r="BU610" i="225" s="1"/>
  <c r="BQ610" i="225"/>
  <c r="BP610" i="225"/>
  <c r="BR610" i="225" s="1"/>
  <c r="BN610" i="225"/>
  <c r="BM610" i="225"/>
  <c r="BO610" i="225" s="1"/>
  <c r="BK610" i="225"/>
  <c r="BJ610" i="225"/>
  <c r="BL610" i="225" s="1"/>
  <c r="BH610" i="225"/>
  <c r="BG610" i="225"/>
  <c r="BI610" i="225" s="1"/>
  <c r="BE610" i="225"/>
  <c r="BD610" i="225"/>
  <c r="BF610" i="225" s="1"/>
  <c r="BB610" i="225"/>
  <c r="BA610" i="225"/>
  <c r="BC610" i="225" s="1"/>
  <c r="AY610" i="225"/>
  <c r="AX610" i="225"/>
  <c r="AZ610" i="225" s="1"/>
  <c r="AV610" i="225"/>
  <c r="AU610" i="225"/>
  <c r="AW610" i="225" s="1"/>
  <c r="AS610" i="225"/>
  <c r="AR610" i="225"/>
  <c r="AT610" i="225" s="1"/>
  <c r="FG608" i="225"/>
  <c r="FD608" i="225"/>
  <c r="FA608" i="225"/>
  <c r="EX608" i="225"/>
  <c r="EU608" i="225"/>
  <c r="ER608" i="225"/>
  <c r="EO608" i="225"/>
  <c r="EL608" i="225"/>
  <c r="EI608" i="225"/>
  <c r="EF608" i="225"/>
  <c r="EC608" i="225"/>
  <c r="DZ608" i="225"/>
  <c r="DW608" i="225"/>
  <c r="DT608" i="225"/>
  <c r="DQ608" i="225"/>
  <c r="DN608" i="225"/>
  <c r="DK608" i="225"/>
  <c r="DH608" i="225"/>
  <c r="DE608" i="225"/>
  <c r="DB608" i="225"/>
  <c r="CY608" i="225"/>
  <c r="CV608" i="225"/>
  <c r="CS608" i="225"/>
  <c r="CP608" i="225"/>
  <c r="CM608" i="225"/>
  <c r="CJ608" i="225"/>
  <c r="CG608" i="225"/>
  <c r="CD608" i="225"/>
  <c r="CA608" i="225"/>
  <c r="BX608" i="225"/>
  <c r="BU608" i="225"/>
  <c r="BR608" i="225"/>
  <c r="BO608" i="225"/>
  <c r="BL608" i="225"/>
  <c r="BI608" i="225"/>
  <c r="BF608" i="225"/>
  <c r="BC608" i="225"/>
  <c r="AZ608" i="225"/>
  <c r="AW608" i="225"/>
  <c r="AT608" i="225"/>
  <c r="AQ608" i="225"/>
  <c r="AN608" i="225"/>
  <c r="AK608" i="225"/>
  <c r="AH608" i="225"/>
  <c r="AE608" i="225"/>
  <c r="AB608" i="225"/>
  <c r="Y608" i="225"/>
  <c r="V608" i="225"/>
  <c r="S608" i="225"/>
  <c r="P608" i="225"/>
  <c r="FG607" i="225"/>
  <c r="FD607" i="225"/>
  <c r="FA607" i="225"/>
  <c r="EX607" i="225"/>
  <c r="EU607" i="225"/>
  <c r="ER607" i="225"/>
  <c r="EO607" i="225"/>
  <c r="EL607" i="225"/>
  <c r="EI607" i="225"/>
  <c r="EF607" i="225"/>
  <c r="EC607" i="225"/>
  <c r="DZ607" i="225"/>
  <c r="DW607" i="225"/>
  <c r="DT607" i="225"/>
  <c r="DQ607" i="225"/>
  <c r="DN607" i="225"/>
  <c r="DK607" i="225"/>
  <c r="DH607" i="225"/>
  <c r="DE607" i="225"/>
  <c r="DB607" i="225"/>
  <c r="CY607" i="225"/>
  <c r="CV607" i="225"/>
  <c r="CS607" i="225"/>
  <c r="CP607" i="225"/>
  <c r="CM607" i="225"/>
  <c r="CJ607" i="225"/>
  <c r="CG607" i="225"/>
  <c r="CD607" i="225"/>
  <c r="CA607" i="225"/>
  <c r="BX607" i="225"/>
  <c r="BU607" i="225"/>
  <c r="BR607" i="225"/>
  <c r="BO607" i="225"/>
  <c r="BL607" i="225"/>
  <c r="BI607" i="225"/>
  <c r="BF607" i="225"/>
  <c r="BC607" i="225"/>
  <c r="AZ607" i="225"/>
  <c r="AW607" i="225"/>
  <c r="AT607" i="225"/>
  <c r="AQ607" i="225"/>
  <c r="AN607" i="225"/>
  <c r="AK607" i="225"/>
  <c r="AH607" i="225"/>
  <c r="AE607" i="225"/>
  <c r="AB607" i="225"/>
  <c r="Y607" i="225"/>
  <c r="V607" i="225"/>
  <c r="S607" i="225"/>
  <c r="P607" i="225"/>
  <c r="FG606" i="225"/>
  <c r="FD606" i="225"/>
  <c r="FA606" i="225"/>
  <c r="EX606" i="225"/>
  <c r="EU606" i="225"/>
  <c r="ER606" i="225"/>
  <c r="EO606" i="225"/>
  <c r="EL606" i="225"/>
  <c r="EI606" i="225"/>
  <c r="EF606" i="225"/>
  <c r="EC606" i="225"/>
  <c r="DZ606" i="225"/>
  <c r="DW606" i="225"/>
  <c r="DT606" i="225"/>
  <c r="DQ606" i="225"/>
  <c r="DN606" i="225"/>
  <c r="DK606" i="225"/>
  <c r="DH606" i="225"/>
  <c r="DE606" i="225"/>
  <c r="DB606" i="225"/>
  <c r="CY606" i="225"/>
  <c r="CV606" i="225"/>
  <c r="CS606" i="225"/>
  <c r="CP606" i="225"/>
  <c r="CM606" i="225"/>
  <c r="CJ606" i="225"/>
  <c r="CG606" i="225"/>
  <c r="CD606" i="225"/>
  <c r="CA606" i="225"/>
  <c r="BX606" i="225"/>
  <c r="BU606" i="225"/>
  <c r="BR606" i="225"/>
  <c r="BO606" i="225"/>
  <c r="BL606" i="225"/>
  <c r="BI606" i="225"/>
  <c r="BF606" i="225"/>
  <c r="BC606" i="225"/>
  <c r="AZ606" i="225"/>
  <c r="AW606" i="225"/>
  <c r="AT606" i="225"/>
  <c r="FG605" i="225"/>
  <c r="FD605" i="225"/>
  <c r="FA605" i="225"/>
  <c r="EX605" i="225"/>
  <c r="EU605" i="225"/>
  <c r="ER605" i="225"/>
  <c r="EO605" i="225"/>
  <c r="EL605" i="225"/>
  <c r="EI605" i="225"/>
  <c r="EF605" i="225"/>
  <c r="EC605" i="225"/>
  <c r="DZ605" i="225"/>
  <c r="DW605" i="225"/>
  <c r="DT605" i="225"/>
  <c r="DQ605" i="225"/>
  <c r="DN605" i="225"/>
  <c r="DK605" i="225"/>
  <c r="DH605" i="225"/>
  <c r="DE605" i="225"/>
  <c r="DB605" i="225"/>
  <c r="CY605" i="225"/>
  <c r="CV605" i="225"/>
  <c r="CS605" i="225"/>
  <c r="CP605" i="225"/>
  <c r="CM605" i="225"/>
  <c r="CJ605" i="225"/>
  <c r="CG605" i="225"/>
  <c r="CD605" i="225"/>
  <c r="CA605" i="225"/>
  <c r="BX605" i="225"/>
  <c r="BU605" i="225"/>
  <c r="BR605" i="225"/>
  <c r="BO605" i="225"/>
  <c r="BL605" i="225"/>
  <c r="BI605" i="225"/>
  <c r="BF605" i="225"/>
  <c r="BC605" i="225"/>
  <c r="AZ605" i="225"/>
  <c r="AW605" i="225"/>
  <c r="AT605" i="225"/>
  <c r="AQ605" i="225"/>
  <c r="AN605" i="225"/>
  <c r="AK605" i="225"/>
  <c r="AH605" i="225"/>
  <c r="AE605" i="225"/>
  <c r="AB605" i="225"/>
  <c r="Y605" i="225"/>
  <c r="V605" i="225"/>
  <c r="S605" i="225"/>
  <c r="P605" i="225"/>
  <c r="FF604" i="225"/>
  <c r="FE604" i="225"/>
  <c r="FG604" i="225" s="1"/>
  <c r="FC604" i="225"/>
  <c r="FB604" i="225"/>
  <c r="FD604" i="225" s="1"/>
  <c r="EZ604" i="225"/>
  <c r="EY604" i="225"/>
  <c r="FA604" i="225" s="1"/>
  <c r="EW604" i="225"/>
  <c r="EV604" i="225"/>
  <c r="EX604" i="225" s="1"/>
  <c r="ET604" i="225"/>
  <c r="ES604" i="225"/>
  <c r="EU604" i="225" s="1"/>
  <c r="EQ604" i="225"/>
  <c r="EP604" i="225"/>
  <c r="ER604" i="225" s="1"/>
  <c r="EN604" i="225"/>
  <c r="EM604" i="225"/>
  <c r="EO604" i="225" s="1"/>
  <c r="EK604" i="225"/>
  <c r="EJ604" i="225"/>
  <c r="EL604" i="225" s="1"/>
  <c r="EH604" i="225"/>
  <c r="EG604" i="225"/>
  <c r="EI604" i="225" s="1"/>
  <c r="EE604" i="225"/>
  <c r="ED604" i="225"/>
  <c r="EF604" i="225" s="1"/>
  <c r="EB604" i="225"/>
  <c r="EA604" i="225"/>
  <c r="EC604" i="225" s="1"/>
  <c r="DY604" i="225"/>
  <c r="DX604" i="225"/>
  <c r="DZ604" i="225" s="1"/>
  <c r="DV604" i="225"/>
  <c r="DU604" i="225"/>
  <c r="DW604" i="225" s="1"/>
  <c r="DS604" i="225"/>
  <c r="DR604" i="225"/>
  <c r="DT604" i="225" s="1"/>
  <c r="DP604" i="225"/>
  <c r="DO604" i="225"/>
  <c r="DQ604" i="225" s="1"/>
  <c r="DM604" i="225"/>
  <c r="DL604" i="225"/>
  <c r="DN604" i="225" s="1"/>
  <c r="DJ604" i="225"/>
  <c r="DI604" i="225"/>
  <c r="DK604" i="225" s="1"/>
  <c r="DG604" i="225"/>
  <c r="DF604" i="225"/>
  <c r="DH604" i="225" s="1"/>
  <c r="DD604" i="225"/>
  <c r="DC604" i="225"/>
  <c r="DE604" i="225" s="1"/>
  <c r="DA604" i="225"/>
  <c r="CZ604" i="225"/>
  <c r="DB604" i="225" s="1"/>
  <c r="CX604" i="225"/>
  <c r="CW604" i="225"/>
  <c r="CY604" i="225" s="1"/>
  <c r="CU604" i="225"/>
  <c r="CT604" i="225"/>
  <c r="CV604" i="225" s="1"/>
  <c r="CR604" i="225"/>
  <c r="CQ604" i="225"/>
  <c r="CS604" i="225" s="1"/>
  <c r="CO604" i="225"/>
  <c r="CN604" i="225"/>
  <c r="CP604" i="225" s="1"/>
  <c r="CL604" i="225"/>
  <c r="CK604" i="225"/>
  <c r="CM604" i="225" s="1"/>
  <c r="CI604" i="225"/>
  <c r="CH604" i="225"/>
  <c r="CJ604" i="225" s="1"/>
  <c r="CF604" i="225"/>
  <c r="CE604" i="225"/>
  <c r="CG604" i="225" s="1"/>
  <c r="CC604" i="225"/>
  <c r="CB604" i="225"/>
  <c r="CD604" i="225" s="1"/>
  <c r="BZ604" i="225"/>
  <c r="BY604" i="225"/>
  <c r="CA604" i="225" s="1"/>
  <c r="BW604" i="225"/>
  <c r="BV604" i="225"/>
  <c r="BX604" i="225" s="1"/>
  <c r="BT604" i="225"/>
  <c r="BS604" i="225"/>
  <c r="BU604" i="225" s="1"/>
  <c r="BQ604" i="225"/>
  <c r="BP604" i="225"/>
  <c r="BR604" i="225" s="1"/>
  <c r="BN604" i="225"/>
  <c r="BM604" i="225"/>
  <c r="BO604" i="225" s="1"/>
  <c r="BK604" i="225"/>
  <c r="BJ604" i="225"/>
  <c r="BL604" i="225" s="1"/>
  <c r="BH604" i="225"/>
  <c r="BG604" i="225"/>
  <c r="BI604" i="225" s="1"/>
  <c r="BE604" i="225"/>
  <c r="BD604" i="225"/>
  <c r="BF604" i="225" s="1"/>
  <c r="BB604" i="225"/>
  <c r="BA604" i="225"/>
  <c r="BC604" i="225" s="1"/>
  <c r="AY604" i="225"/>
  <c r="AX604" i="225"/>
  <c r="AZ604" i="225" s="1"/>
  <c r="AV604" i="225"/>
  <c r="AU604" i="225"/>
  <c r="AW604" i="225" s="1"/>
  <c r="AS604" i="225"/>
  <c r="AR604" i="225"/>
  <c r="AT604" i="225" s="1"/>
  <c r="FG602" i="225"/>
  <c r="FD602" i="225"/>
  <c r="FA602" i="225"/>
  <c r="EX602" i="225"/>
  <c r="EU602" i="225"/>
  <c r="ER602" i="225"/>
  <c r="EO602" i="225"/>
  <c r="EL602" i="225"/>
  <c r="EI602" i="225"/>
  <c r="EF602" i="225"/>
  <c r="EC602" i="225"/>
  <c r="DZ602" i="225"/>
  <c r="DW602" i="225"/>
  <c r="DT602" i="225"/>
  <c r="DQ602" i="225"/>
  <c r="DN602" i="225"/>
  <c r="DK602" i="225"/>
  <c r="DH602" i="225"/>
  <c r="DE602" i="225"/>
  <c r="DB602" i="225"/>
  <c r="CY602" i="225"/>
  <c r="CV602" i="225"/>
  <c r="CS602" i="225"/>
  <c r="CP602" i="225"/>
  <c r="CM602" i="225"/>
  <c r="CJ602" i="225"/>
  <c r="CG602" i="225"/>
  <c r="CD602" i="225"/>
  <c r="CA602" i="225"/>
  <c r="BX602" i="225"/>
  <c r="BU602" i="225"/>
  <c r="BR602" i="225"/>
  <c r="BO602" i="225"/>
  <c r="BL602" i="225"/>
  <c r="BI602" i="225"/>
  <c r="BF602" i="225"/>
  <c r="BC602" i="225"/>
  <c r="AZ602" i="225"/>
  <c r="AW602" i="225"/>
  <c r="AT602" i="225"/>
  <c r="AQ602" i="225"/>
  <c r="AN602" i="225"/>
  <c r="AK602" i="225"/>
  <c r="AH602" i="225"/>
  <c r="AE602" i="225"/>
  <c r="AB602" i="225"/>
  <c r="Y602" i="225"/>
  <c r="V602" i="225"/>
  <c r="S602" i="225"/>
  <c r="P602" i="225"/>
  <c r="FG601" i="225"/>
  <c r="FD601" i="225"/>
  <c r="FA601" i="225"/>
  <c r="EX601" i="225"/>
  <c r="EU601" i="225"/>
  <c r="ER601" i="225"/>
  <c r="EO601" i="225"/>
  <c r="EL601" i="225"/>
  <c r="EI601" i="225"/>
  <c r="EF601" i="225"/>
  <c r="EC601" i="225"/>
  <c r="DZ601" i="225"/>
  <c r="DW601" i="225"/>
  <c r="DT601" i="225"/>
  <c r="DQ601" i="225"/>
  <c r="DN601" i="225"/>
  <c r="DK601" i="225"/>
  <c r="DH601" i="225"/>
  <c r="DE601" i="225"/>
  <c r="DB601" i="225"/>
  <c r="CY601" i="225"/>
  <c r="CV601" i="225"/>
  <c r="CS601" i="225"/>
  <c r="CP601" i="225"/>
  <c r="CM601" i="225"/>
  <c r="CJ601" i="225"/>
  <c r="CG601" i="225"/>
  <c r="CD601" i="225"/>
  <c r="CA601" i="225"/>
  <c r="BX601" i="225"/>
  <c r="BU601" i="225"/>
  <c r="BR601" i="225"/>
  <c r="BO601" i="225"/>
  <c r="BL601" i="225"/>
  <c r="BI601" i="225"/>
  <c r="BF601" i="225"/>
  <c r="BC601" i="225"/>
  <c r="AZ601" i="225"/>
  <c r="AW601" i="225"/>
  <c r="AT601" i="225"/>
  <c r="AQ601" i="225"/>
  <c r="AN601" i="225"/>
  <c r="AK601" i="225"/>
  <c r="AH601" i="225"/>
  <c r="AE601" i="225"/>
  <c r="AB601" i="225"/>
  <c r="Y601" i="225"/>
  <c r="V601" i="225"/>
  <c r="S601" i="225"/>
  <c r="P601" i="225"/>
  <c r="FG600" i="225"/>
  <c r="FD600" i="225"/>
  <c r="FA600" i="225"/>
  <c r="EX600" i="225"/>
  <c r="EU600" i="225"/>
  <c r="ER600" i="225"/>
  <c r="EO600" i="225"/>
  <c r="EL600" i="225"/>
  <c r="EI600" i="225"/>
  <c r="EF600" i="225"/>
  <c r="EC600" i="225"/>
  <c r="DZ600" i="225"/>
  <c r="DW600" i="225"/>
  <c r="DT600" i="225"/>
  <c r="DQ600" i="225"/>
  <c r="DN600" i="225"/>
  <c r="DK600" i="225"/>
  <c r="DH600" i="225"/>
  <c r="DE600" i="225"/>
  <c r="DB600" i="225"/>
  <c r="CY600" i="225"/>
  <c r="CV600" i="225"/>
  <c r="CS600" i="225"/>
  <c r="CP600" i="225"/>
  <c r="CM600" i="225"/>
  <c r="CJ600" i="225"/>
  <c r="CG600" i="225"/>
  <c r="CD600" i="225"/>
  <c r="CA600" i="225"/>
  <c r="BX600" i="225"/>
  <c r="BU600" i="225"/>
  <c r="BR600" i="225"/>
  <c r="BO600" i="225"/>
  <c r="BL600" i="225"/>
  <c r="BI600" i="225"/>
  <c r="BF600" i="225"/>
  <c r="BC600" i="225"/>
  <c r="AZ600" i="225"/>
  <c r="AW600" i="225"/>
  <c r="AT600" i="225"/>
  <c r="FG599" i="225"/>
  <c r="FD599" i="225"/>
  <c r="FA599" i="225"/>
  <c r="EX599" i="225"/>
  <c r="EU599" i="225"/>
  <c r="ER599" i="225"/>
  <c r="EO599" i="225"/>
  <c r="EL599" i="225"/>
  <c r="EI599" i="225"/>
  <c r="EF599" i="225"/>
  <c r="EC599" i="225"/>
  <c r="DZ599" i="225"/>
  <c r="DW599" i="225"/>
  <c r="DT599" i="225"/>
  <c r="DQ599" i="225"/>
  <c r="DN599" i="225"/>
  <c r="DK599" i="225"/>
  <c r="DH599" i="225"/>
  <c r="DE599" i="225"/>
  <c r="DB599" i="225"/>
  <c r="CY599" i="225"/>
  <c r="CV599" i="225"/>
  <c r="CS599" i="225"/>
  <c r="CP599" i="225"/>
  <c r="CM599" i="225"/>
  <c r="CJ599" i="225"/>
  <c r="CG599" i="225"/>
  <c r="CD599" i="225"/>
  <c r="CA599" i="225"/>
  <c r="BX599" i="225"/>
  <c r="BU599" i="225"/>
  <c r="BR599" i="225"/>
  <c r="BO599" i="225"/>
  <c r="BL599" i="225"/>
  <c r="BI599" i="225"/>
  <c r="BF599" i="225"/>
  <c r="BC599" i="225"/>
  <c r="AZ599" i="225"/>
  <c r="AW599" i="225"/>
  <c r="AT599" i="225"/>
  <c r="AQ599" i="225"/>
  <c r="AN599" i="225"/>
  <c r="AK599" i="225"/>
  <c r="AH599" i="225"/>
  <c r="AE599" i="225"/>
  <c r="AB599" i="225"/>
  <c r="Y599" i="225"/>
  <c r="V599" i="225"/>
  <c r="S599" i="225"/>
  <c r="P599" i="225"/>
  <c r="FF598" i="225"/>
  <c r="FE598" i="225"/>
  <c r="FG598" i="225" s="1"/>
  <c r="FC598" i="225"/>
  <c r="FB598" i="225"/>
  <c r="FD598" i="225" s="1"/>
  <c r="EZ598" i="225"/>
  <c r="EY598" i="225"/>
  <c r="FA598" i="225" s="1"/>
  <c r="EW598" i="225"/>
  <c r="EV598" i="225"/>
  <c r="EX598" i="225" s="1"/>
  <c r="ET598" i="225"/>
  <c r="ES598" i="225"/>
  <c r="EU598" i="225" s="1"/>
  <c r="EQ598" i="225"/>
  <c r="EP598" i="225"/>
  <c r="ER598" i="225" s="1"/>
  <c r="EN598" i="225"/>
  <c r="EM598" i="225"/>
  <c r="EO598" i="225" s="1"/>
  <c r="EK598" i="225"/>
  <c r="EJ598" i="225"/>
  <c r="EL598" i="225" s="1"/>
  <c r="EH598" i="225"/>
  <c r="EG598" i="225"/>
  <c r="EI598" i="225" s="1"/>
  <c r="EE598" i="225"/>
  <c r="ED598" i="225"/>
  <c r="EF598" i="225" s="1"/>
  <c r="EB598" i="225"/>
  <c r="EA598" i="225"/>
  <c r="EC598" i="225" s="1"/>
  <c r="DY598" i="225"/>
  <c r="DX598" i="225"/>
  <c r="DZ598" i="225" s="1"/>
  <c r="DV598" i="225"/>
  <c r="DU598" i="225"/>
  <c r="DW598" i="225" s="1"/>
  <c r="DS598" i="225"/>
  <c r="DR598" i="225"/>
  <c r="DT598" i="225" s="1"/>
  <c r="DP598" i="225"/>
  <c r="DO598" i="225"/>
  <c r="DQ598" i="225" s="1"/>
  <c r="DM598" i="225"/>
  <c r="DL598" i="225"/>
  <c r="DN598" i="225" s="1"/>
  <c r="DJ598" i="225"/>
  <c r="DI598" i="225"/>
  <c r="DK598" i="225" s="1"/>
  <c r="DG598" i="225"/>
  <c r="DF598" i="225"/>
  <c r="DH598" i="225" s="1"/>
  <c r="DD598" i="225"/>
  <c r="DC598" i="225"/>
  <c r="DE598" i="225" s="1"/>
  <c r="DA598" i="225"/>
  <c r="CZ598" i="225"/>
  <c r="DB598" i="225" s="1"/>
  <c r="CX598" i="225"/>
  <c r="CW598" i="225"/>
  <c r="CY598" i="225" s="1"/>
  <c r="CU598" i="225"/>
  <c r="CT598" i="225"/>
  <c r="CV598" i="225" s="1"/>
  <c r="CR598" i="225"/>
  <c r="CQ598" i="225"/>
  <c r="CS598" i="225" s="1"/>
  <c r="CO598" i="225"/>
  <c r="CN598" i="225"/>
  <c r="CP598" i="225" s="1"/>
  <c r="CL598" i="225"/>
  <c r="CK598" i="225"/>
  <c r="CM598" i="225" s="1"/>
  <c r="CI598" i="225"/>
  <c r="CH598" i="225"/>
  <c r="CJ598" i="225" s="1"/>
  <c r="CF598" i="225"/>
  <c r="CE598" i="225"/>
  <c r="CG598" i="225" s="1"/>
  <c r="CC598" i="225"/>
  <c r="CB598" i="225"/>
  <c r="CD598" i="225" s="1"/>
  <c r="BZ598" i="225"/>
  <c r="BY598" i="225"/>
  <c r="CA598" i="225" s="1"/>
  <c r="BW598" i="225"/>
  <c r="BV598" i="225"/>
  <c r="BX598" i="225" s="1"/>
  <c r="BT598" i="225"/>
  <c r="BS598" i="225"/>
  <c r="BU598" i="225" s="1"/>
  <c r="BQ598" i="225"/>
  <c r="BP598" i="225"/>
  <c r="BR598" i="225" s="1"/>
  <c r="BN598" i="225"/>
  <c r="BM598" i="225"/>
  <c r="BO598" i="225" s="1"/>
  <c r="BK598" i="225"/>
  <c r="BJ598" i="225"/>
  <c r="BL598" i="225" s="1"/>
  <c r="BH598" i="225"/>
  <c r="BG598" i="225"/>
  <c r="BI598" i="225" s="1"/>
  <c r="BE598" i="225"/>
  <c r="BD598" i="225"/>
  <c r="BF598" i="225" s="1"/>
  <c r="BB598" i="225"/>
  <c r="BA598" i="225"/>
  <c r="BC598" i="225" s="1"/>
  <c r="AY598" i="225"/>
  <c r="AX598" i="225"/>
  <c r="AZ598" i="225" s="1"/>
  <c r="AV598" i="225"/>
  <c r="AU598" i="225"/>
  <c r="AW598" i="225" s="1"/>
  <c r="AS598" i="225"/>
  <c r="AR598" i="225"/>
  <c r="AT598" i="225" s="1"/>
  <c r="FG594" i="225"/>
  <c r="FD594" i="225"/>
  <c r="FA594" i="225"/>
  <c r="EX594" i="225"/>
  <c r="EU594" i="225"/>
  <c r="ER594" i="225"/>
  <c r="EO594" i="225"/>
  <c r="EL594" i="225"/>
  <c r="EI594" i="225"/>
  <c r="EF594" i="225"/>
  <c r="EC594" i="225"/>
  <c r="DZ594" i="225"/>
  <c r="DW594" i="225"/>
  <c r="DT594" i="225"/>
  <c r="DQ594" i="225"/>
  <c r="DN594" i="225"/>
  <c r="DK594" i="225"/>
  <c r="DH594" i="225"/>
  <c r="DE594" i="225"/>
  <c r="DB594" i="225"/>
  <c r="CY594" i="225"/>
  <c r="CV594" i="225"/>
  <c r="CS594" i="225"/>
  <c r="CP594" i="225"/>
  <c r="CM594" i="225"/>
  <c r="CJ594" i="225"/>
  <c r="CG594" i="225"/>
  <c r="CD594" i="225"/>
  <c r="CA594" i="225"/>
  <c r="BX594" i="225"/>
  <c r="BU594" i="225"/>
  <c r="BR594" i="225"/>
  <c r="BO594" i="225"/>
  <c r="BL594" i="225"/>
  <c r="BI594" i="225"/>
  <c r="BF594" i="225"/>
  <c r="BC594" i="225"/>
  <c r="AZ594" i="225"/>
  <c r="AW594" i="225"/>
  <c r="AT594" i="225"/>
  <c r="FF593" i="225"/>
  <c r="FE593" i="225"/>
  <c r="FC593" i="225"/>
  <c r="FB593" i="225"/>
  <c r="EZ593" i="225"/>
  <c r="EY593" i="225"/>
  <c r="EW593" i="225"/>
  <c r="EV593" i="225"/>
  <c r="ET593" i="225"/>
  <c r="ES593" i="225"/>
  <c r="EQ593" i="225"/>
  <c r="EP593" i="225"/>
  <c r="EN593" i="225"/>
  <c r="EM593" i="225"/>
  <c r="EK593" i="225"/>
  <c r="EJ593" i="225"/>
  <c r="EH593" i="225"/>
  <c r="EG593" i="225"/>
  <c r="EE593" i="225"/>
  <c r="ED593" i="225"/>
  <c r="EB593" i="225"/>
  <c r="EA593" i="225"/>
  <c r="DY593" i="225"/>
  <c r="DX593" i="225"/>
  <c r="DV593" i="225"/>
  <c r="DU593" i="225"/>
  <c r="DS593" i="225"/>
  <c r="DR593" i="225"/>
  <c r="DP593" i="225"/>
  <c r="DO593" i="225"/>
  <c r="DM593" i="225"/>
  <c r="DL593" i="225"/>
  <c r="DJ593" i="225"/>
  <c r="DI593" i="225"/>
  <c r="DG593" i="225"/>
  <c r="DF593" i="225"/>
  <c r="DD593" i="225"/>
  <c r="DC593" i="225"/>
  <c r="DA593" i="225"/>
  <c r="CZ593" i="225"/>
  <c r="CX593" i="225"/>
  <c r="CW593" i="225"/>
  <c r="CU593" i="225"/>
  <c r="CT593" i="225"/>
  <c r="CR593" i="225"/>
  <c r="CQ593" i="225"/>
  <c r="CO593" i="225"/>
  <c r="CN593" i="225"/>
  <c r="CL593" i="225"/>
  <c r="CK593" i="225"/>
  <c r="CI593" i="225"/>
  <c r="CH593" i="225"/>
  <c r="CF593" i="225"/>
  <c r="CE593" i="225"/>
  <c r="CC593" i="225"/>
  <c r="CB593" i="225"/>
  <c r="BZ593" i="225"/>
  <c r="BY593" i="225"/>
  <c r="BW593" i="225"/>
  <c r="BV593" i="225"/>
  <c r="BT593" i="225"/>
  <c r="BS593" i="225"/>
  <c r="BQ593" i="225"/>
  <c r="BP593" i="225"/>
  <c r="BN593" i="225"/>
  <c r="BM593" i="225"/>
  <c r="BK593" i="225"/>
  <c r="BJ593" i="225"/>
  <c r="BH593" i="225"/>
  <c r="BG593" i="225"/>
  <c r="BE593" i="225"/>
  <c r="BD593" i="225"/>
  <c r="BB593" i="225"/>
  <c r="BA593" i="225"/>
  <c r="AY593" i="225"/>
  <c r="AX593" i="225"/>
  <c r="AV593" i="225"/>
  <c r="AU593" i="225"/>
  <c r="AS593" i="225"/>
  <c r="AR593" i="225"/>
  <c r="FG592" i="225"/>
  <c r="FD592" i="225"/>
  <c r="FA592" i="225"/>
  <c r="EX592" i="225"/>
  <c r="EU592" i="225"/>
  <c r="ER592" i="225"/>
  <c r="EO592" i="225"/>
  <c r="EL592" i="225"/>
  <c r="EI592" i="225"/>
  <c r="EF592" i="225"/>
  <c r="EC592" i="225"/>
  <c r="DZ592" i="225"/>
  <c r="DW592" i="225"/>
  <c r="DT592" i="225"/>
  <c r="DQ592" i="225"/>
  <c r="DN592" i="225"/>
  <c r="DK592" i="225"/>
  <c r="DH592" i="225"/>
  <c r="DE592" i="225"/>
  <c r="DB592" i="225"/>
  <c r="CY592" i="225"/>
  <c r="CV592" i="225"/>
  <c r="CS592" i="225"/>
  <c r="CP592" i="225"/>
  <c r="CM592" i="225"/>
  <c r="CJ592" i="225"/>
  <c r="CG592" i="225"/>
  <c r="CD592" i="225"/>
  <c r="CA592" i="225"/>
  <c r="BX592" i="225"/>
  <c r="BU592" i="225"/>
  <c r="BR592" i="225"/>
  <c r="BO592" i="225"/>
  <c r="BL592" i="225"/>
  <c r="BI592" i="225"/>
  <c r="BF592" i="225"/>
  <c r="BC592" i="225"/>
  <c r="AZ592" i="225"/>
  <c r="AW592" i="225"/>
  <c r="AT592" i="225"/>
  <c r="FG591" i="225"/>
  <c r="FD591" i="225"/>
  <c r="FA591" i="225"/>
  <c r="EX591" i="225"/>
  <c r="EU591" i="225"/>
  <c r="ER591" i="225"/>
  <c r="EO591" i="225"/>
  <c r="EL591" i="225"/>
  <c r="EI591" i="225"/>
  <c r="EF591" i="225"/>
  <c r="EC591" i="225"/>
  <c r="DZ591" i="225"/>
  <c r="DW591" i="225"/>
  <c r="DT591" i="225"/>
  <c r="DQ591" i="225"/>
  <c r="DN591" i="225"/>
  <c r="DK591" i="225"/>
  <c r="DH591" i="225"/>
  <c r="DE591" i="225"/>
  <c r="DB591" i="225"/>
  <c r="CY591" i="225"/>
  <c r="CV591" i="225"/>
  <c r="CS591" i="225"/>
  <c r="CP591" i="225"/>
  <c r="CM591" i="225"/>
  <c r="CJ591" i="225"/>
  <c r="CG591" i="225"/>
  <c r="CD591" i="225"/>
  <c r="CA591" i="225"/>
  <c r="BX591" i="225"/>
  <c r="BU591" i="225"/>
  <c r="BR591" i="225"/>
  <c r="BO591" i="225"/>
  <c r="BL591" i="225"/>
  <c r="BI591" i="225"/>
  <c r="BF591" i="225"/>
  <c r="BC591" i="225"/>
  <c r="AZ591" i="225"/>
  <c r="AW591" i="225"/>
  <c r="AT591" i="225"/>
  <c r="FG590" i="225"/>
  <c r="FD590" i="225"/>
  <c r="FA590" i="225"/>
  <c r="EX590" i="225"/>
  <c r="EU590" i="225"/>
  <c r="ER590" i="225"/>
  <c r="EO590" i="225"/>
  <c r="EL590" i="225"/>
  <c r="EI590" i="225"/>
  <c r="EF590" i="225"/>
  <c r="EC590" i="225"/>
  <c r="DZ590" i="225"/>
  <c r="DW590" i="225"/>
  <c r="DT590" i="225"/>
  <c r="DQ590" i="225"/>
  <c r="DN590" i="225"/>
  <c r="DK590" i="225"/>
  <c r="DH590" i="225"/>
  <c r="DE590" i="225"/>
  <c r="DB590" i="225"/>
  <c r="CY590" i="225"/>
  <c r="CV590" i="225"/>
  <c r="CS590" i="225"/>
  <c r="CP590" i="225"/>
  <c r="CM590" i="225"/>
  <c r="CJ590" i="225"/>
  <c r="CG590" i="225"/>
  <c r="CD590" i="225"/>
  <c r="CA590" i="225"/>
  <c r="BX590" i="225"/>
  <c r="BU590" i="225"/>
  <c r="BR590" i="225"/>
  <c r="BO590" i="225"/>
  <c r="BL590" i="225"/>
  <c r="BI590" i="225"/>
  <c r="BF590" i="225"/>
  <c r="BC590" i="225"/>
  <c r="AZ590" i="225"/>
  <c r="AW590" i="225"/>
  <c r="AT590" i="225"/>
  <c r="FF589" i="225"/>
  <c r="FE589" i="225"/>
  <c r="FC589" i="225"/>
  <c r="FB589" i="225"/>
  <c r="EZ589" i="225"/>
  <c r="EY589" i="225"/>
  <c r="EW589" i="225"/>
  <c r="EV589" i="225"/>
  <c r="ET589" i="225"/>
  <c r="ES589" i="225"/>
  <c r="EQ589" i="225"/>
  <c r="EP589" i="225"/>
  <c r="EN589" i="225"/>
  <c r="EM589" i="225"/>
  <c r="EK589" i="225"/>
  <c r="EJ589" i="225"/>
  <c r="EH589" i="225"/>
  <c r="EG589" i="225"/>
  <c r="EE589" i="225"/>
  <c r="ED589" i="225"/>
  <c r="EB589" i="225"/>
  <c r="EA589" i="225"/>
  <c r="DY589" i="225"/>
  <c r="DX589" i="225"/>
  <c r="DV589" i="225"/>
  <c r="DU589" i="225"/>
  <c r="DS589" i="225"/>
  <c r="DR589" i="225"/>
  <c r="DP589" i="225"/>
  <c r="DO589" i="225"/>
  <c r="DM589" i="225"/>
  <c r="DL589" i="225"/>
  <c r="DJ589" i="225"/>
  <c r="DI589" i="225"/>
  <c r="DG589" i="225"/>
  <c r="DF589" i="225"/>
  <c r="DD589" i="225"/>
  <c r="DC589" i="225"/>
  <c r="DA589" i="225"/>
  <c r="CZ589" i="225"/>
  <c r="CX589" i="225"/>
  <c r="CW589" i="225"/>
  <c r="CU589" i="225"/>
  <c r="CT589" i="225"/>
  <c r="CR589" i="225"/>
  <c r="CQ589" i="225"/>
  <c r="CO589" i="225"/>
  <c r="CN589" i="225"/>
  <c r="CL589" i="225"/>
  <c r="CK589" i="225"/>
  <c r="CI589" i="225"/>
  <c r="CH589" i="225"/>
  <c r="CF589" i="225"/>
  <c r="CE589" i="225"/>
  <c r="CC589" i="225"/>
  <c r="CB589" i="225"/>
  <c r="BZ589" i="225"/>
  <c r="BY589" i="225"/>
  <c r="BW589" i="225"/>
  <c r="BV589" i="225"/>
  <c r="BT589" i="225"/>
  <c r="BS589" i="225"/>
  <c r="BQ589" i="225"/>
  <c r="BP589" i="225"/>
  <c r="BN589" i="225"/>
  <c r="BM589" i="225"/>
  <c r="BK589" i="225"/>
  <c r="BJ589" i="225"/>
  <c r="BH589" i="225"/>
  <c r="BG589" i="225"/>
  <c r="BE589" i="225"/>
  <c r="BD589" i="225"/>
  <c r="BB589" i="225"/>
  <c r="BA589" i="225"/>
  <c r="AY589" i="225"/>
  <c r="AX589" i="225"/>
  <c r="AV589" i="225"/>
  <c r="AU589" i="225"/>
  <c r="AS589" i="225"/>
  <c r="AR589" i="225"/>
  <c r="FG588" i="225"/>
  <c r="FD588" i="225"/>
  <c r="FA588" i="225"/>
  <c r="EX588" i="225"/>
  <c r="EU588" i="225"/>
  <c r="ER588" i="225"/>
  <c r="EO588" i="225"/>
  <c r="EL588" i="225"/>
  <c r="EI588" i="225"/>
  <c r="EF588" i="225"/>
  <c r="EC588" i="225"/>
  <c r="DZ588" i="225"/>
  <c r="DW588" i="225"/>
  <c r="DT588" i="225"/>
  <c r="DQ588" i="225"/>
  <c r="DN588" i="225"/>
  <c r="DK588" i="225"/>
  <c r="DH588" i="225"/>
  <c r="DE588" i="225"/>
  <c r="DB588" i="225"/>
  <c r="CY588" i="225"/>
  <c r="CV588" i="225"/>
  <c r="CS588" i="225"/>
  <c r="CP588" i="225"/>
  <c r="CM588" i="225"/>
  <c r="CJ588" i="225"/>
  <c r="CG588" i="225"/>
  <c r="CD588" i="225"/>
  <c r="CA588" i="225"/>
  <c r="BX588" i="225"/>
  <c r="BU588" i="225"/>
  <c r="BR588" i="225"/>
  <c r="BO588" i="225"/>
  <c r="BL588" i="225"/>
  <c r="BI588" i="225"/>
  <c r="BF588" i="225"/>
  <c r="BC588" i="225"/>
  <c r="AZ588" i="225"/>
  <c r="AW588" i="225"/>
  <c r="AT588" i="225"/>
  <c r="FG587" i="225"/>
  <c r="FD587" i="225"/>
  <c r="FA587" i="225"/>
  <c r="EX587" i="225"/>
  <c r="EU587" i="225"/>
  <c r="ER587" i="225"/>
  <c r="EO587" i="225"/>
  <c r="EL587" i="225"/>
  <c r="EI587" i="225"/>
  <c r="EF587" i="225"/>
  <c r="EC587" i="225"/>
  <c r="DZ587" i="225"/>
  <c r="DW587" i="225"/>
  <c r="DT587" i="225"/>
  <c r="DQ587" i="225"/>
  <c r="DN587" i="225"/>
  <c r="DK587" i="225"/>
  <c r="DH587" i="225"/>
  <c r="DE587" i="225"/>
  <c r="DB587" i="225"/>
  <c r="CY587" i="225"/>
  <c r="CV587" i="225"/>
  <c r="CS587" i="225"/>
  <c r="CP587" i="225"/>
  <c r="CM587" i="225"/>
  <c r="CJ587" i="225"/>
  <c r="CG587" i="225"/>
  <c r="CD587" i="225"/>
  <c r="CA587" i="225"/>
  <c r="BX587" i="225"/>
  <c r="BU587" i="225"/>
  <c r="BR587" i="225"/>
  <c r="BO587" i="225"/>
  <c r="BL587" i="225"/>
  <c r="BI587" i="225"/>
  <c r="BF587" i="225"/>
  <c r="BC587" i="225"/>
  <c r="AZ587" i="225"/>
  <c r="AW587" i="225"/>
  <c r="AT587" i="225"/>
  <c r="A583" i="225"/>
  <c r="N583" i="225" s="1"/>
  <c r="N582" i="225"/>
  <c r="E578" i="225"/>
  <c r="A578" i="225"/>
  <c r="A452" i="225"/>
  <c r="A453" i="225" s="1"/>
  <c r="A454" i="225" s="1"/>
  <c r="A455" i="225" s="1"/>
  <c r="A456" i="225" s="1"/>
  <c r="A457" i="225" s="1"/>
  <c r="A458" i="225" s="1"/>
  <c r="A459" i="225" s="1"/>
  <c r="A460" i="225" s="1"/>
  <c r="A461" i="225" s="1"/>
  <c r="A462" i="225" s="1"/>
  <c r="A463" i="225" s="1"/>
  <c r="A464" i="225" s="1"/>
  <c r="A465" i="225" s="1"/>
  <c r="A466" i="225" s="1"/>
  <c r="A467" i="225" s="1"/>
  <c r="A468" i="225" s="1"/>
  <c r="A469" i="225" s="1"/>
  <c r="A470" i="225" s="1"/>
  <c r="A471" i="225" s="1"/>
  <c r="A472" i="225" s="1"/>
  <c r="A473" i="225" s="1"/>
  <c r="A474" i="225" s="1"/>
  <c r="A475" i="225" s="1"/>
  <c r="A476" i="225" s="1"/>
  <c r="A477" i="225" s="1"/>
  <c r="A478" i="225" s="1"/>
  <c r="A479" i="225" s="1"/>
  <c r="A480" i="225" s="1"/>
  <c r="A481" i="225" s="1"/>
  <c r="A482" i="225" s="1"/>
  <c r="A483" i="225" s="1"/>
  <c r="A484" i="225" s="1"/>
  <c r="A485" i="225" s="1"/>
  <c r="A486" i="225" s="1"/>
  <c r="A487" i="225" s="1"/>
  <c r="A488" i="225" s="1"/>
  <c r="A489" i="225" s="1"/>
  <c r="A490" i="225" s="1"/>
  <c r="A491" i="225" s="1"/>
  <c r="A492" i="225" s="1"/>
  <c r="A493" i="225" s="1"/>
  <c r="A494" i="225" s="1"/>
  <c r="A495" i="225" s="1"/>
  <c r="A496" i="225" s="1"/>
  <c r="A497" i="225" s="1"/>
  <c r="A498" i="225" s="1"/>
  <c r="A499" i="225" s="1"/>
  <c r="A500" i="225" s="1"/>
  <c r="A501" i="225" s="1"/>
  <c r="D501" i="225" s="1"/>
  <c r="AM569" i="225"/>
  <c r="AL569" i="225"/>
  <c r="AK569" i="225"/>
  <c r="AJ569" i="225"/>
  <c r="AI569" i="225"/>
  <c r="AH569" i="225"/>
  <c r="AG569" i="225"/>
  <c r="AF569" i="225"/>
  <c r="AE569" i="225"/>
  <c r="AD569" i="225"/>
  <c r="AC569" i="225"/>
  <c r="AB569" i="225"/>
  <c r="AA569" i="225"/>
  <c r="Z569" i="225"/>
  <c r="Y569" i="225"/>
  <c r="X569" i="225"/>
  <c r="W569" i="225"/>
  <c r="V569" i="225"/>
  <c r="U569" i="225"/>
  <c r="T569" i="225"/>
  <c r="S569" i="225"/>
  <c r="Q569" i="225"/>
  <c r="P569" i="225"/>
  <c r="O569" i="225"/>
  <c r="R566" i="225"/>
  <c r="R563" i="225"/>
  <c r="R562" i="225"/>
  <c r="R558" i="225"/>
  <c r="R557" i="225"/>
  <c r="R556" i="225"/>
  <c r="R555" i="225"/>
  <c r="R554" i="225"/>
  <c r="AM553" i="225"/>
  <c r="AL553" i="225"/>
  <c r="AW553" i="225" s="1"/>
  <c r="AK553" i="225"/>
  <c r="AV553" i="225" s="1"/>
  <c r="AJ553" i="225"/>
  <c r="AU553" i="225" s="1"/>
  <c r="AI553" i="225"/>
  <c r="AT553" i="225" s="1"/>
  <c r="AH553" i="225"/>
  <c r="AS553" i="225" s="1"/>
  <c r="AG553" i="225"/>
  <c r="AR553" i="225" s="1"/>
  <c r="AF553" i="225"/>
  <c r="AQ553" i="225" s="1"/>
  <c r="AE553" i="225"/>
  <c r="AP553" i="225" s="1"/>
  <c r="AC553" i="225"/>
  <c r="AB553" i="225"/>
  <c r="AA553" i="225"/>
  <c r="Z553" i="225"/>
  <c r="Y553" i="225"/>
  <c r="X553" i="225"/>
  <c r="W553" i="225"/>
  <c r="V553" i="225"/>
  <c r="U553" i="225"/>
  <c r="S553" i="225"/>
  <c r="AN553" i="225" s="1"/>
  <c r="Q553" i="225"/>
  <c r="P553" i="225"/>
  <c r="O553" i="225"/>
  <c r="R552" i="225"/>
  <c r="R551" i="225"/>
  <c r="R550" i="225"/>
  <c r="R549" i="225"/>
  <c r="R548" i="225"/>
  <c r="R547" i="225"/>
  <c r="AW545" i="225"/>
  <c r="AV545" i="225"/>
  <c r="AU545" i="225"/>
  <c r="AT545" i="225"/>
  <c r="AS545" i="225"/>
  <c r="AR545" i="225"/>
  <c r="AQ545" i="225"/>
  <c r="AP545" i="225"/>
  <c r="AN545" i="225"/>
  <c r="R545" i="225"/>
  <c r="L404" i="225"/>
  <c r="Q442" i="225"/>
  <c r="P442" i="225"/>
  <c r="Q434" i="225"/>
  <c r="Q433" i="225" s="1"/>
  <c r="P434" i="225"/>
  <c r="P433" i="225" s="1"/>
  <c r="P421" i="225"/>
  <c r="A405" i="225"/>
  <c r="A406" i="225" s="1"/>
  <c r="A407" i="225" s="1"/>
  <c r="A408" i="225" s="1"/>
  <c r="A409" i="225" s="1"/>
  <c r="A410" i="225" s="1"/>
  <c r="P410" i="225" s="1"/>
  <c r="B117" i="225"/>
  <c r="L699" i="225" l="1"/>
  <c r="L707" i="225"/>
  <c r="L652" i="225"/>
  <c r="G701" i="225"/>
  <c r="G653" i="225"/>
  <c r="L703" i="225"/>
  <c r="G704" i="225"/>
  <c r="L656" i="225"/>
  <c r="L705" i="225"/>
  <c r="G649" i="225"/>
  <c r="R553" i="225"/>
  <c r="N624" i="225"/>
  <c r="A584" i="225"/>
  <c r="Q410" i="225"/>
  <c r="G766" i="225"/>
  <c r="L797" i="225"/>
  <c r="L675" i="225"/>
  <c r="L789" i="225"/>
  <c r="L693" i="225"/>
  <c r="G773" i="225"/>
  <c r="G782" i="225"/>
  <c r="L685" i="225"/>
  <c r="L691" i="225"/>
  <c r="G667" i="225"/>
  <c r="L679" i="225"/>
  <c r="G699" i="225"/>
  <c r="G757" i="225"/>
  <c r="L661" i="225"/>
  <c r="L704" i="225"/>
  <c r="G711" i="225"/>
  <c r="L769" i="225"/>
  <c r="L774" i="225"/>
  <c r="L785" i="225"/>
  <c r="L800" i="225"/>
  <c r="G759" i="225"/>
  <c r="L770" i="225"/>
  <c r="G775" i="225"/>
  <c r="L786" i="225"/>
  <c r="G791" i="225"/>
  <c r="L801" i="225"/>
  <c r="G659" i="225"/>
  <c r="L677" i="225"/>
  <c r="G729" i="225"/>
  <c r="G760" i="225"/>
  <c r="G776" i="225"/>
  <c r="G792" i="225"/>
  <c r="L802" i="225"/>
  <c r="L653" i="225"/>
  <c r="G715" i="225"/>
  <c r="G798" i="225"/>
  <c r="L673" i="225"/>
  <c r="G687" i="225"/>
  <c r="G706" i="225"/>
  <c r="G731" i="225"/>
  <c r="G758" i="225"/>
  <c r="L761" i="225"/>
  <c r="G781" i="225"/>
  <c r="G784" i="225"/>
  <c r="G799" i="225"/>
  <c r="L669" i="225"/>
  <c r="G683" i="225"/>
  <c r="L706" i="225"/>
  <c r="G739" i="225"/>
  <c r="G745" i="225"/>
  <c r="L649" i="225"/>
  <c r="L665" i="225"/>
  <c r="G703" i="225"/>
  <c r="G713" i="225"/>
  <c r="G727" i="225"/>
  <c r="L762" i="225"/>
  <c r="L777" i="225"/>
  <c r="L657" i="225"/>
  <c r="G671" i="225"/>
  <c r="L689" i="225"/>
  <c r="G747" i="225"/>
  <c r="G767" i="225"/>
  <c r="L778" i="225"/>
  <c r="G790" i="225"/>
  <c r="L793" i="225"/>
  <c r="G663" i="225"/>
  <c r="L681" i="225"/>
  <c r="G695" i="225"/>
  <c r="G743" i="225"/>
  <c r="G765" i="225"/>
  <c r="G768" i="225"/>
  <c r="G783" i="225"/>
  <c r="L794" i="225"/>
  <c r="G756" i="225"/>
  <c r="G764" i="225"/>
  <c r="G772" i="225"/>
  <c r="G780" i="225"/>
  <c r="G788" i="225"/>
  <c r="G796" i="225"/>
  <c r="G804" i="225"/>
  <c r="G763" i="225"/>
  <c r="G771" i="225"/>
  <c r="G779" i="225"/>
  <c r="G787" i="225"/>
  <c r="G795" i="225"/>
  <c r="G803" i="225"/>
  <c r="G805" i="225"/>
  <c r="G648" i="225"/>
  <c r="G652" i="225"/>
  <c r="G656" i="225"/>
  <c r="G707" i="225"/>
  <c r="G717" i="225"/>
  <c r="G733" i="225"/>
  <c r="L648" i="225"/>
  <c r="G723" i="225"/>
  <c r="G719" i="225"/>
  <c r="G735" i="225"/>
  <c r="G709" i="225"/>
  <c r="G725" i="225"/>
  <c r="G741" i="225"/>
  <c r="G721" i="225"/>
  <c r="G737" i="225"/>
  <c r="A649" i="225"/>
  <c r="A702" i="225"/>
  <c r="G650" i="225"/>
  <c r="G654" i="225"/>
  <c r="G700" i="225"/>
  <c r="G708" i="225"/>
  <c r="L700" i="225"/>
  <c r="L708" i="225"/>
  <c r="G647" i="225"/>
  <c r="G651" i="225"/>
  <c r="G655" i="225"/>
  <c r="G658" i="225"/>
  <c r="G660" i="225"/>
  <c r="G662" i="225"/>
  <c r="G664" i="225"/>
  <c r="G666" i="225"/>
  <c r="G668" i="225"/>
  <c r="G670" i="225"/>
  <c r="G672" i="225"/>
  <c r="G674" i="225"/>
  <c r="G676" i="225"/>
  <c r="G678" i="225"/>
  <c r="G680" i="225"/>
  <c r="G682" i="225"/>
  <c r="G684" i="225"/>
  <c r="G686" i="225"/>
  <c r="G688" i="225"/>
  <c r="G690" i="225"/>
  <c r="G692" i="225"/>
  <c r="G694" i="225"/>
  <c r="G696" i="225"/>
  <c r="L701" i="225"/>
  <c r="G702" i="225"/>
  <c r="L650" i="225"/>
  <c r="L654" i="225"/>
  <c r="L647" i="225"/>
  <c r="L651" i="225"/>
  <c r="L655" i="225"/>
  <c r="L702" i="225"/>
  <c r="G705" i="225"/>
  <c r="G710" i="225"/>
  <c r="G712" i="225"/>
  <c r="G714" i="225"/>
  <c r="G716" i="225"/>
  <c r="G718" i="225"/>
  <c r="G720" i="225"/>
  <c r="G722" i="225"/>
  <c r="G724" i="225"/>
  <c r="G726" i="225"/>
  <c r="G728" i="225"/>
  <c r="G730" i="225"/>
  <c r="G732" i="225"/>
  <c r="G734" i="225"/>
  <c r="G736" i="225"/>
  <c r="G738" i="225"/>
  <c r="G740" i="225"/>
  <c r="G742" i="225"/>
  <c r="G744" i="225"/>
  <c r="G746" i="225"/>
  <c r="G748" i="225"/>
  <c r="G597" i="225"/>
  <c r="G616" i="225"/>
  <c r="G594" i="225"/>
  <c r="G606" i="225"/>
  <c r="G607" i="225"/>
  <c r="G617" i="225"/>
  <c r="G587" i="225"/>
  <c r="A626" i="225"/>
  <c r="N626" i="225" s="1"/>
  <c r="G615" i="225"/>
  <c r="G613" i="225"/>
  <c r="G612" i="225"/>
  <c r="G602" i="225"/>
  <c r="G599" i="225"/>
  <c r="G598" i="225"/>
  <c r="G621" i="225"/>
  <c r="G619" i="225"/>
  <c r="G618" i="225"/>
  <c r="G608" i="225"/>
  <c r="G614" i="225"/>
  <c r="G611" i="225"/>
  <c r="G610" i="225"/>
  <c r="G603" i="225"/>
  <c r="G601" i="225"/>
  <c r="G600" i="225"/>
  <c r="G596" i="225"/>
  <c r="G593" i="225"/>
  <c r="G592" i="225"/>
  <c r="G591" i="225"/>
  <c r="G586" i="225"/>
  <c r="G590" i="225"/>
  <c r="G605" i="225"/>
  <c r="G588" i="225"/>
  <c r="G595" i="225"/>
  <c r="G589" i="225"/>
  <c r="G609" i="225"/>
  <c r="G620" i="225"/>
  <c r="A502" i="225"/>
  <c r="A503" i="225" s="1"/>
  <c r="A504" i="225" s="1"/>
  <c r="A505" i="225" s="1"/>
  <c r="A506" i="225" s="1"/>
  <c r="A507" i="225" s="1"/>
  <c r="A508" i="225" s="1"/>
  <c r="A509" i="225" s="1"/>
  <c r="A510" i="225" s="1"/>
  <c r="A511" i="225" s="1"/>
  <c r="A512" i="225" s="1"/>
  <c r="A513" i="225" s="1"/>
  <c r="A514" i="225" s="1"/>
  <c r="A515" i="225" s="1"/>
  <c r="A516" i="225" s="1"/>
  <c r="A517" i="225" s="1"/>
  <c r="A518" i="225" s="1"/>
  <c r="A519" i="225" s="1"/>
  <c r="A520" i="225" s="1"/>
  <c r="A521" i="225" s="1"/>
  <c r="A522" i="225" s="1"/>
  <c r="A523" i="225" s="1"/>
  <c r="A524" i="225" s="1"/>
  <c r="A525" i="225" s="1"/>
  <c r="A526" i="225" s="1"/>
  <c r="A527" i="225" s="1"/>
  <c r="A528" i="225" s="1"/>
  <c r="A529" i="225" s="1"/>
  <c r="A530" i="225" s="1"/>
  <c r="A531" i="225" s="1"/>
  <c r="A532" i="225" s="1"/>
  <c r="A533" i="225" s="1"/>
  <c r="A534" i="225" s="1"/>
  <c r="A535" i="225" s="1"/>
  <c r="A536" i="225" s="1"/>
  <c r="A537" i="225" s="1"/>
  <c r="A538" i="225" s="1"/>
  <c r="A539" i="225" s="1"/>
  <c r="A540" i="225" s="1"/>
  <c r="A541" i="225" s="1"/>
  <c r="A542" i="225" s="1"/>
  <c r="A543" i="225" s="1"/>
  <c r="A544" i="225" s="1"/>
  <c r="A545" i="225" s="1"/>
  <c r="A411" i="225"/>
  <c r="Q411" i="225" s="1"/>
  <c r="A585" i="225" l="1"/>
  <c r="N584" i="225"/>
  <c r="A703" i="225"/>
  <c r="A650" i="225"/>
  <c r="A627" i="225"/>
  <c r="A628" i="225" s="1"/>
  <c r="A629" i="225" s="1"/>
  <c r="A630" i="225" s="1"/>
  <c r="C630" i="225" s="1"/>
  <c r="A546" i="225"/>
  <c r="A547" i="225" s="1"/>
  <c r="A412" i="225"/>
  <c r="A586" i="225" l="1"/>
  <c r="A587" i="225" s="1"/>
  <c r="A588" i="225" s="1"/>
  <c r="A589" i="225" s="1"/>
  <c r="A590" i="225" s="1"/>
  <c r="N585" i="225"/>
  <c r="A651" i="225"/>
  <c r="A704" i="225"/>
  <c r="A591" i="225"/>
  <c r="A548" i="225"/>
  <c r="Q412" i="225"/>
  <c r="P412" i="225"/>
  <c r="P409" i="225" s="1"/>
  <c r="A413" i="225"/>
  <c r="P407" i="225" l="1"/>
  <c r="P405" i="225" s="1"/>
  <c r="P447" i="225" s="1"/>
  <c r="A705" i="225"/>
  <c r="A652" i="225"/>
  <c r="A592" i="225"/>
  <c r="A549" i="225"/>
  <c r="A414" i="225"/>
  <c r="A653" i="225" l="1"/>
  <c r="A706" i="225"/>
  <c r="A593" i="225"/>
  <c r="A594" i="225" s="1"/>
  <c r="A550" i="225"/>
  <c r="A415" i="225"/>
  <c r="A707" i="225" l="1"/>
  <c r="A654" i="225"/>
  <c r="A595" i="225"/>
  <c r="C595" i="225" s="1"/>
  <c r="A596" i="225"/>
  <c r="A597" i="225" s="1"/>
  <c r="A598" i="225" s="1"/>
  <c r="A599" i="225" s="1"/>
  <c r="A600" i="225" s="1"/>
  <c r="A551" i="225"/>
  <c r="A416" i="225"/>
  <c r="A655" i="225" l="1"/>
  <c r="A708" i="225"/>
  <c r="A601" i="225"/>
  <c r="A602" i="225" s="1"/>
  <c r="A603" i="225" s="1"/>
  <c r="A604" i="225" s="1"/>
  <c r="A605" i="225" s="1"/>
  <c r="A606" i="225" s="1"/>
  <c r="A552" i="225"/>
  <c r="A417" i="225"/>
  <c r="A709" i="225" l="1"/>
  <c r="A710" i="225" s="1"/>
  <c r="A711" i="225" s="1"/>
  <c r="A712" i="225" s="1"/>
  <c r="A713" i="225" s="1"/>
  <c r="A714" i="225" s="1"/>
  <c r="A715" i="225" s="1"/>
  <c r="A716" i="225" s="1"/>
  <c r="A717" i="225" s="1"/>
  <c r="A718" i="225" s="1"/>
  <c r="A719" i="225" s="1"/>
  <c r="A720" i="225" s="1"/>
  <c r="A721" i="225" s="1"/>
  <c r="A722" i="225" s="1"/>
  <c r="A723" i="225" s="1"/>
  <c r="A724" i="225" s="1"/>
  <c r="A725" i="225" s="1"/>
  <c r="A726" i="225" s="1"/>
  <c r="A727" i="225" s="1"/>
  <c r="A728" i="225" s="1"/>
  <c r="A729" i="225" s="1"/>
  <c r="A730" i="225" s="1"/>
  <c r="A731" i="225" s="1"/>
  <c r="A732" i="225" s="1"/>
  <c r="A733" i="225" s="1"/>
  <c r="A734" i="225" s="1"/>
  <c r="A735" i="225" s="1"/>
  <c r="A736" i="225" s="1"/>
  <c r="A737" i="225" s="1"/>
  <c r="A738" i="225" s="1"/>
  <c r="A739" i="225" s="1"/>
  <c r="A740" i="225" s="1"/>
  <c r="A741" i="225" s="1"/>
  <c r="A742" i="225" s="1"/>
  <c r="A743" i="225" s="1"/>
  <c r="A744" i="225" s="1"/>
  <c r="A745" i="225" s="1"/>
  <c r="A746" i="225" s="1"/>
  <c r="A747" i="225" s="1"/>
  <c r="A748" i="225" s="1"/>
  <c r="A656" i="225"/>
  <c r="A607" i="225"/>
  <c r="A608" i="225" s="1"/>
  <c r="A609" i="225" s="1"/>
  <c r="A610" i="225" s="1"/>
  <c r="A611" i="225" s="1"/>
  <c r="A612" i="225" s="1"/>
  <c r="A553" i="225"/>
  <c r="A418" i="225"/>
  <c r="A657" i="225" l="1"/>
  <c r="A658" i="225" s="1"/>
  <c r="A659" i="225" s="1"/>
  <c r="A660" i="225" s="1"/>
  <c r="A661" i="225" s="1"/>
  <c r="A662" i="225" s="1"/>
  <c r="A663" i="225" s="1"/>
  <c r="A664" i="225" s="1"/>
  <c r="A665" i="225" s="1"/>
  <c r="A666" i="225" s="1"/>
  <c r="A667" i="225" s="1"/>
  <c r="A668" i="225" s="1"/>
  <c r="A669" i="225" s="1"/>
  <c r="A670" i="225" s="1"/>
  <c r="A671" i="225" s="1"/>
  <c r="A672" i="225" s="1"/>
  <c r="A673" i="225" s="1"/>
  <c r="A674" i="225" s="1"/>
  <c r="A675" i="225" s="1"/>
  <c r="A676" i="225" s="1"/>
  <c r="A677" i="225" s="1"/>
  <c r="A678" i="225" s="1"/>
  <c r="A679" i="225" s="1"/>
  <c r="A680" i="225" s="1"/>
  <c r="A681" i="225" s="1"/>
  <c r="A682" i="225" s="1"/>
  <c r="A683" i="225" s="1"/>
  <c r="A684" i="225" s="1"/>
  <c r="A685" i="225" s="1"/>
  <c r="A686" i="225" s="1"/>
  <c r="A687" i="225" s="1"/>
  <c r="A688" i="225" s="1"/>
  <c r="A689" i="225" s="1"/>
  <c r="A690" i="225" s="1"/>
  <c r="A691" i="225" s="1"/>
  <c r="A692" i="225" s="1"/>
  <c r="A693" i="225" s="1"/>
  <c r="A694" i="225" s="1"/>
  <c r="A695" i="225" s="1"/>
  <c r="A696" i="225" s="1"/>
  <c r="A613" i="225"/>
  <c r="A614" i="225" s="1"/>
  <c r="A615" i="225" s="1"/>
  <c r="A616" i="225" s="1"/>
  <c r="A617" i="225" s="1"/>
  <c r="A618" i="225" s="1"/>
  <c r="A554" i="225"/>
  <c r="A419" i="225"/>
  <c r="A619" i="225" l="1"/>
  <c r="A620" i="225" s="1"/>
  <c r="A621" i="225" s="1"/>
  <c r="C621" i="225" s="1"/>
  <c r="A555" i="225"/>
  <c r="A420" i="225"/>
  <c r="A556" i="225" l="1"/>
  <c r="A421" i="225"/>
  <c r="A422" i="225" s="1"/>
  <c r="Q422" i="225" s="1"/>
  <c r="A557" i="225" l="1"/>
  <c r="A423" i="225"/>
  <c r="Q423" i="225" s="1"/>
  <c r="A558" i="225" l="1"/>
  <c r="A559" i="225" s="1"/>
  <c r="A560" i="225" s="1"/>
  <c r="A561" i="225" s="1"/>
  <c r="A562" i="225" s="1"/>
  <c r="A563" i="225" s="1"/>
  <c r="A564" i="225" s="1"/>
  <c r="A424" i="225"/>
  <c r="Q424" i="225" s="1"/>
  <c r="A565" i="225" l="1"/>
  <c r="A566" i="225" s="1"/>
  <c r="A567" i="225" s="1"/>
  <c r="A568" i="225" s="1"/>
  <c r="A569" i="225" s="1"/>
  <c r="A570" i="225" s="1"/>
  <c r="A571" i="225" s="1"/>
  <c r="A572" i="225" s="1"/>
  <c r="AF564" i="225"/>
  <c r="X564" i="225"/>
  <c r="O564" i="225"/>
  <c r="AM564" i="225"/>
  <c r="AE564" i="225"/>
  <c r="W564" i="225"/>
  <c r="AL564" i="225"/>
  <c r="AD564" i="225"/>
  <c r="V564" i="225"/>
  <c r="AC564" i="225"/>
  <c r="Q564" i="225"/>
  <c r="AA564" i="225"/>
  <c r="AK564" i="225"/>
  <c r="Z564" i="225"/>
  <c r="AJ564" i="225"/>
  <c r="Y564" i="225"/>
  <c r="AG564" i="225"/>
  <c r="P564" i="225"/>
  <c r="AI564" i="225"/>
  <c r="U564" i="225"/>
  <c r="AH564" i="225"/>
  <c r="T564" i="225"/>
  <c r="S564" i="225"/>
  <c r="AB564" i="225"/>
  <c r="A425" i="225"/>
  <c r="Q421" i="225"/>
  <c r="A573" i="225" l="1"/>
  <c r="A574" i="225" s="1"/>
  <c r="A575" i="225" s="1"/>
  <c r="A576" i="225" s="1"/>
  <c r="AF572" i="225"/>
  <c r="X572" i="225"/>
  <c r="O572" i="225"/>
  <c r="AM572" i="225"/>
  <c r="AE572" i="225"/>
  <c r="W572" i="225"/>
  <c r="AL572" i="225"/>
  <c r="AD572" i="225"/>
  <c r="V572" i="225"/>
  <c r="AG572" i="225"/>
  <c r="S572" i="225"/>
  <c r="AC572" i="225"/>
  <c r="AB572" i="225"/>
  <c r="P572" i="225"/>
  <c r="AA572" i="225"/>
  <c r="AK572" i="225"/>
  <c r="Z572" i="225"/>
  <c r="AH572" i="225"/>
  <c r="Q572" i="225"/>
  <c r="AJ572" i="225"/>
  <c r="Y572" i="225"/>
  <c r="AI572" i="225"/>
  <c r="U572" i="225"/>
  <c r="T572" i="225"/>
  <c r="A426" i="225"/>
  <c r="A427" i="225" l="1"/>
  <c r="A428" i="225" l="1"/>
  <c r="A429" i="225" s="1"/>
  <c r="A430" i="225" s="1"/>
  <c r="A431" i="225" s="1"/>
  <c r="A432" i="225" s="1"/>
  <c r="A433" i="225" s="1"/>
  <c r="A434" i="225" s="1"/>
  <c r="A435" i="225" s="1"/>
  <c r="A436" i="225" s="1"/>
  <c r="A437" i="225" s="1"/>
  <c r="A438" i="225" s="1"/>
  <c r="A439" i="225" s="1"/>
  <c r="Q439" i="225" s="1"/>
  <c r="A440" i="225" l="1"/>
  <c r="Q440" i="225" s="1"/>
  <c r="A441" i="225" l="1"/>
  <c r="A442" i="225" s="1"/>
  <c r="A443" i="225" s="1"/>
  <c r="A444" i="225" s="1"/>
  <c r="A445" i="225" s="1"/>
  <c r="A446" i="225" s="1"/>
  <c r="A447" i="225" s="1"/>
  <c r="Q463" i="225" l="1"/>
  <c r="P463" i="225"/>
  <c r="R470" i="225"/>
  <c r="Q478" i="225"/>
  <c r="P478" i="225"/>
  <c r="R485" i="225"/>
  <c r="Q493" i="225"/>
  <c r="P493" i="225"/>
  <c r="R496" i="225"/>
  <c r="AL232" i="225"/>
  <c r="AK232" i="225"/>
  <c r="AJ232" i="225"/>
  <c r="AI232" i="225"/>
  <c r="AH232" i="225"/>
  <c r="AG232" i="225"/>
  <c r="AF232" i="225"/>
  <c r="AE232" i="225"/>
  <c r="AD232" i="225"/>
  <c r="AC232" i="225"/>
  <c r="AB232" i="225"/>
  <c r="AA232" i="225"/>
  <c r="Z232" i="225"/>
  <c r="Y232" i="225"/>
  <c r="X232" i="225"/>
  <c r="W232" i="225"/>
  <c r="V232" i="225"/>
  <c r="U232" i="225"/>
  <c r="T232" i="225"/>
  <c r="S232" i="225"/>
  <c r="R232" i="225"/>
  <c r="Q232" i="225"/>
  <c r="P232" i="225"/>
  <c r="O232" i="225"/>
  <c r="AL229" i="225"/>
  <c r="AL227" i="225" s="1"/>
  <c r="AK229" i="225"/>
  <c r="AJ229" i="225"/>
  <c r="AJ227" i="225" s="1"/>
  <c r="AI229" i="225"/>
  <c r="AH229" i="225"/>
  <c r="AG229" i="225"/>
  <c r="AF229" i="225"/>
  <c r="AE229" i="225"/>
  <c r="AE227" i="225" s="1"/>
  <c r="AD229" i="225"/>
  <c r="AD227" i="225" s="1"/>
  <c r="AC229" i="225"/>
  <c r="AB229" i="225"/>
  <c r="AB227" i="225" s="1"/>
  <c r="AA229" i="225"/>
  <c r="AA227" i="225" s="1"/>
  <c r="Z229" i="225"/>
  <c r="Y229" i="225"/>
  <c r="X229" i="225"/>
  <c r="W229" i="225"/>
  <c r="W227" i="225" s="1"/>
  <c r="V229" i="225"/>
  <c r="V227" i="225" s="1"/>
  <c r="U229" i="225"/>
  <c r="T229" i="225"/>
  <c r="S229" i="225"/>
  <c r="R229" i="225"/>
  <c r="Q229" i="225"/>
  <c r="P229" i="225"/>
  <c r="O229" i="225"/>
  <c r="S227" i="225"/>
  <c r="R227" i="225"/>
  <c r="Q227" i="225"/>
  <c r="P227" i="225"/>
  <c r="O227" i="225"/>
  <c r="L227" i="225"/>
  <c r="L233" i="225" s="1"/>
  <c r="A227" i="225"/>
  <c r="A228" i="225" s="1"/>
  <c r="A229" i="225" s="1"/>
  <c r="A230" i="225" s="1"/>
  <c r="A231" i="225" s="1"/>
  <c r="A232" i="225" s="1"/>
  <c r="A233" i="225" s="1"/>
  <c r="T227" i="225" l="1"/>
  <c r="X227" i="225"/>
  <c r="AI227" i="225"/>
  <c r="AG227" i="225"/>
  <c r="Y227" i="225"/>
  <c r="L229" i="225"/>
  <c r="L230" i="225"/>
  <c r="Z227" i="225"/>
  <c r="AH227" i="225"/>
  <c r="L228" i="225"/>
  <c r="AF227" i="225"/>
  <c r="U227" i="225"/>
  <c r="AC227" i="225"/>
  <c r="AK227" i="225"/>
  <c r="L231" i="225"/>
  <c r="L232" i="225"/>
  <c r="A184" i="225" l="1"/>
  <c r="A155" i="225"/>
  <c r="A156" i="225" s="1"/>
  <c r="A157" i="225" s="1"/>
  <c r="A158" i="225" s="1"/>
  <c r="A159" i="225" s="1"/>
  <c r="A160" i="225" s="1"/>
  <c r="A137" i="225"/>
  <c r="A98" i="225"/>
  <c r="R578" i="225"/>
  <c r="Q499" i="225"/>
  <c r="P499" i="225"/>
  <c r="AL338" i="225"/>
  <c r="AK338" i="225"/>
  <c r="AJ338" i="225"/>
  <c r="AI338" i="225"/>
  <c r="AH338" i="225"/>
  <c r="AG338" i="225"/>
  <c r="AF338" i="225"/>
  <c r="AE338" i="225"/>
  <c r="AD338" i="225"/>
  <c r="AC338" i="225"/>
  <c r="AB338" i="225"/>
  <c r="AA338" i="225"/>
  <c r="Z338" i="225"/>
  <c r="Y338" i="225"/>
  <c r="X338" i="225"/>
  <c r="W338" i="225"/>
  <c r="V338" i="225"/>
  <c r="U338" i="225"/>
  <c r="T338" i="225"/>
  <c r="S338" i="225"/>
  <c r="R338" i="225"/>
  <c r="Q338" i="225"/>
  <c r="P338" i="225"/>
  <c r="O338" i="225"/>
  <c r="AL334" i="225"/>
  <c r="AK334" i="225"/>
  <c r="AJ334" i="225"/>
  <c r="AI334" i="225"/>
  <c r="AH334" i="225"/>
  <c r="AG334" i="225"/>
  <c r="AF334" i="225"/>
  <c r="AE334" i="225"/>
  <c r="AD334" i="225"/>
  <c r="AC334" i="225"/>
  <c r="AB334" i="225"/>
  <c r="AA334" i="225"/>
  <c r="Z334" i="225"/>
  <c r="Y334" i="225"/>
  <c r="X334" i="225"/>
  <c r="W334" i="225"/>
  <c r="V334" i="225"/>
  <c r="U334" i="225"/>
  <c r="T334" i="225"/>
  <c r="S334" i="225"/>
  <c r="R334" i="225"/>
  <c r="Q334" i="225"/>
  <c r="P334" i="225"/>
  <c r="O334" i="225"/>
  <c r="AL330" i="225"/>
  <c r="AK330" i="225"/>
  <c r="AJ330" i="225"/>
  <c r="AI330" i="225"/>
  <c r="AH330" i="225"/>
  <c r="AG330" i="225"/>
  <c r="AF330" i="225"/>
  <c r="AE330" i="225"/>
  <c r="AD330" i="225"/>
  <c r="AC330" i="225"/>
  <c r="AB330" i="225"/>
  <c r="AA330" i="225"/>
  <c r="Z330" i="225"/>
  <c r="Y330" i="225"/>
  <c r="X330" i="225"/>
  <c r="W330" i="225"/>
  <c r="V330" i="225"/>
  <c r="U330" i="225"/>
  <c r="T330" i="225"/>
  <c r="S330" i="225"/>
  <c r="R330" i="225"/>
  <c r="Q330" i="225"/>
  <c r="P330" i="225"/>
  <c r="O330" i="225"/>
  <c r="AL326" i="225"/>
  <c r="AK326" i="225"/>
  <c r="AJ326" i="225"/>
  <c r="AI326" i="225"/>
  <c r="AH326" i="225"/>
  <c r="AG326" i="225"/>
  <c r="AF326" i="225"/>
  <c r="AE326" i="225"/>
  <c r="AD326" i="225"/>
  <c r="AC326" i="225"/>
  <c r="AB326" i="225"/>
  <c r="AA326" i="225"/>
  <c r="Z326" i="225"/>
  <c r="Y326" i="225"/>
  <c r="X326" i="225"/>
  <c r="W326" i="225"/>
  <c r="V326" i="225"/>
  <c r="U326" i="225"/>
  <c r="T326" i="225"/>
  <c r="S326" i="225"/>
  <c r="R326" i="225"/>
  <c r="Q326" i="225"/>
  <c r="P326" i="225"/>
  <c r="O326" i="225"/>
  <c r="AL322" i="225"/>
  <c r="AK322" i="225"/>
  <c r="AJ322" i="225"/>
  <c r="AI322" i="225"/>
  <c r="AH322" i="225"/>
  <c r="AG322" i="225"/>
  <c r="AF322" i="225"/>
  <c r="AE322" i="225"/>
  <c r="AD322" i="225"/>
  <c r="AC322" i="225"/>
  <c r="AB322" i="225"/>
  <c r="AA322" i="225"/>
  <c r="Z322" i="225"/>
  <c r="Y322" i="225"/>
  <c r="X322" i="225"/>
  <c r="W322" i="225"/>
  <c r="V322" i="225"/>
  <c r="U322" i="225"/>
  <c r="T322" i="225"/>
  <c r="S322" i="225"/>
  <c r="R322" i="225"/>
  <c r="Q322" i="225"/>
  <c r="P322" i="225"/>
  <c r="O322" i="225"/>
  <c r="AL224" i="225"/>
  <c r="AK224" i="225"/>
  <c r="AJ224" i="225"/>
  <c r="AI224" i="225"/>
  <c r="AH224" i="225"/>
  <c r="AG224" i="225"/>
  <c r="AF224" i="225"/>
  <c r="AE224" i="225"/>
  <c r="AD224" i="225"/>
  <c r="AC224" i="225"/>
  <c r="AB224" i="225"/>
  <c r="AA224" i="225"/>
  <c r="Z224" i="225"/>
  <c r="Y224" i="225"/>
  <c r="X224" i="225"/>
  <c r="W224" i="225"/>
  <c r="V224" i="225"/>
  <c r="U224" i="225"/>
  <c r="T224" i="225"/>
  <c r="S224" i="225"/>
  <c r="R224" i="225"/>
  <c r="Q224" i="225"/>
  <c r="P224" i="225"/>
  <c r="O224" i="225"/>
  <c r="AL217" i="225"/>
  <c r="AK217" i="225"/>
  <c r="AJ217" i="225"/>
  <c r="AI217" i="225"/>
  <c r="AH217" i="225"/>
  <c r="AG217" i="225"/>
  <c r="AF217" i="225"/>
  <c r="AE217" i="225"/>
  <c r="AD217" i="225"/>
  <c r="AC217" i="225"/>
  <c r="AB217" i="225"/>
  <c r="AA217" i="225"/>
  <c r="Z217" i="225"/>
  <c r="Y217" i="225"/>
  <c r="X217" i="225"/>
  <c r="W217" i="225"/>
  <c r="V217" i="225"/>
  <c r="U217" i="225"/>
  <c r="T217" i="225"/>
  <c r="S217" i="225"/>
  <c r="R217" i="225"/>
  <c r="Q217" i="225"/>
  <c r="P217" i="225"/>
  <c r="O217" i="225"/>
  <c r="O184" i="225" l="1"/>
  <c r="O98" i="225"/>
  <c r="O155" i="225"/>
  <c r="A99" i="225"/>
  <c r="A100" i="225" s="1"/>
  <c r="A101" i="225" s="1"/>
  <c r="R499" i="225"/>
  <c r="R527" i="225" l="1"/>
  <c r="L336" i="225"/>
  <c r="L338" i="225" s="1"/>
  <c r="A336" i="225"/>
  <c r="A337" i="225" s="1"/>
  <c r="A338" i="225" s="1"/>
  <c r="G14" i="225"/>
  <c r="AD547" i="225" l="1"/>
  <c r="T547" i="225"/>
  <c r="T545" i="225"/>
  <c r="AD548" i="225"/>
  <c r="T548" i="225"/>
  <c r="T549" i="225"/>
  <c r="AD551" i="225"/>
  <c r="AD550" i="225"/>
  <c r="T550" i="225"/>
  <c r="T551" i="225"/>
  <c r="T552" i="225"/>
  <c r="AD552" i="225"/>
  <c r="AD553" i="225"/>
  <c r="T553" i="225"/>
  <c r="T554" i="225"/>
  <c r="AD554" i="225"/>
  <c r="T555" i="225"/>
  <c r="AD555" i="225"/>
  <c r="AD556" i="225"/>
  <c r="T556" i="225"/>
  <c r="AD557" i="225"/>
  <c r="T557" i="225"/>
  <c r="B14" i="225"/>
  <c r="B12" i="225"/>
  <c r="B13" i="225"/>
  <c r="B15" i="225"/>
  <c r="B10" i="225"/>
  <c r="B11" i="225"/>
  <c r="L337" i="225"/>
  <c r="P647" i="225" l="1"/>
  <c r="P653" i="225"/>
  <c r="P654" i="225"/>
  <c r="P651" i="225"/>
  <c r="P656" i="225"/>
  <c r="P650" i="225"/>
  <c r="P648" i="225"/>
  <c r="P649" i="225"/>
  <c r="P652" i="225"/>
  <c r="P655" i="225"/>
  <c r="AN509" i="225"/>
  <c r="AO509" i="225"/>
  <c r="AP509" i="225"/>
  <c r="AQ509" i="225"/>
  <c r="AR509" i="225"/>
  <c r="AS509" i="225"/>
  <c r="AT509" i="225"/>
  <c r="AU509" i="225"/>
  <c r="AV509" i="225"/>
  <c r="AW509" i="225"/>
  <c r="AN510" i="225"/>
  <c r="AO510" i="225"/>
  <c r="AP510" i="225"/>
  <c r="AQ510" i="225"/>
  <c r="AR510" i="225"/>
  <c r="AS510" i="225"/>
  <c r="AT510" i="225"/>
  <c r="AU510" i="225"/>
  <c r="AV510" i="225"/>
  <c r="AW510" i="225"/>
  <c r="AN525" i="225"/>
  <c r="AO525" i="225"/>
  <c r="AP525" i="225"/>
  <c r="AQ525" i="225"/>
  <c r="AR525" i="225"/>
  <c r="AS525" i="225"/>
  <c r="AT525" i="225"/>
  <c r="AU525" i="225"/>
  <c r="AV525" i="225"/>
  <c r="AW525" i="225"/>
  <c r="AN528" i="225"/>
  <c r="AO528" i="225"/>
  <c r="AP528" i="225"/>
  <c r="AQ528" i="225"/>
  <c r="AR528" i="225"/>
  <c r="AS528" i="225"/>
  <c r="AT528" i="225"/>
  <c r="AU528" i="225"/>
  <c r="AV528" i="225"/>
  <c r="AW528" i="225"/>
  <c r="AN529" i="225"/>
  <c r="AN530" i="225"/>
  <c r="AO530" i="225"/>
  <c r="AP530" i="225"/>
  <c r="AQ530" i="225"/>
  <c r="AR530" i="225"/>
  <c r="AS530" i="225"/>
  <c r="AT530" i="225"/>
  <c r="AU530" i="225"/>
  <c r="AV530" i="225"/>
  <c r="AW530" i="225"/>
  <c r="AN531" i="225"/>
  <c r="AO531" i="225"/>
  <c r="AP531" i="225"/>
  <c r="AQ531" i="225"/>
  <c r="AR531" i="225"/>
  <c r="AS531" i="225"/>
  <c r="AT531" i="225"/>
  <c r="AU531" i="225"/>
  <c r="AV531" i="225"/>
  <c r="AW531" i="225"/>
  <c r="AN533" i="225"/>
  <c r="AO533" i="225"/>
  <c r="AP533" i="225"/>
  <c r="AQ533" i="225"/>
  <c r="AR533" i="225"/>
  <c r="AS533" i="225"/>
  <c r="AT533" i="225"/>
  <c r="AU533" i="225"/>
  <c r="AV533" i="225"/>
  <c r="AW533" i="225"/>
  <c r="AN534" i="225"/>
  <c r="AO534" i="225"/>
  <c r="AP534" i="225"/>
  <c r="AQ534" i="225"/>
  <c r="AR534" i="225"/>
  <c r="AS534" i="225"/>
  <c r="AT534" i="225"/>
  <c r="AU534" i="225"/>
  <c r="AV534" i="225"/>
  <c r="AW534" i="225"/>
  <c r="AN535" i="225"/>
  <c r="AO535" i="225"/>
  <c r="AP535" i="225"/>
  <c r="AQ535" i="225"/>
  <c r="AR535" i="225"/>
  <c r="AS535" i="225"/>
  <c r="AT535" i="225"/>
  <c r="AU535" i="225"/>
  <c r="AV535" i="225"/>
  <c r="AW535" i="225"/>
  <c r="AN543" i="225"/>
  <c r="AO543" i="225"/>
  <c r="AP543" i="225"/>
  <c r="AQ543" i="225"/>
  <c r="AR543" i="225"/>
  <c r="AS543" i="225"/>
  <c r="AT543" i="225"/>
  <c r="AU543" i="225"/>
  <c r="AV543" i="225"/>
  <c r="AW543" i="225"/>
  <c r="AN544" i="225"/>
  <c r="AO544" i="225"/>
  <c r="AP544" i="225"/>
  <c r="AQ544" i="225"/>
  <c r="AR544" i="225"/>
  <c r="AS544" i="225"/>
  <c r="AT544" i="225"/>
  <c r="AU544" i="225"/>
  <c r="AV544" i="225"/>
  <c r="AW544" i="225"/>
  <c r="AD77" i="225" l="1"/>
  <c r="AE77" i="225"/>
  <c r="AF77" i="225"/>
  <c r="AG77" i="225"/>
  <c r="AH77" i="225"/>
  <c r="AI77" i="225"/>
  <c r="AJ77" i="225"/>
  <c r="AK77" i="225"/>
  <c r="AL77" i="225"/>
  <c r="AM77" i="225"/>
  <c r="AN77" i="225"/>
  <c r="AO77" i="225"/>
  <c r="AP77" i="225"/>
  <c r="AC77" i="225"/>
  <c r="AB77" i="225"/>
  <c r="AA77" i="225"/>
  <c r="Z77" i="225"/>
  <c r="Y77" i="225"/>
  <c r="U77" i="225"/>
  <c r="T77" i="225"/>
  <c r="S77" i="225"/>
  <c r="U398" i="225"/>
  <c r="T398" i="225"/>
  <c r="S398" i="225"/>
  <c r="R398" i="225"/>
  <c r="Q398" i="225"/>
  <c r="P398" i="225"/>
  <c r="AL313" i="225"/>
  <c r="AK313" i="225"/>
  <c r="AJ313" i="225"/>
  <c r="AI313" i="225"/>
  <c r="AH313" i="225"/>
  <c r="AG313" i="225"/>
  <c r="AF313" i="225"/>
  <c r="AE313" i="225"/>
  <c r="AD313" i="225"/>
  <c r="AC313" i="225"/>
  <c r="AB313" i="225"/>
  <c r="AA313" i="225"/>
  <c r="Z313" i="225"/>
  <c r="Y313" i="225"/>
  <c r="X313" i="225"/>
  <c r="W313" i="225"/>
  <c r="V313" i="225"/>
  <c r="U313" i="225"/>
  <c r="T313" i="225"/>
  <c r="S313" i="225"/>
  <c r="R313" i="225"/>
  <c r="Q313" i="225"/>
  <c r="P313" i="225"/>
  <c r="O313" i="225"/>
  <c r="B2" i="465"/>
  <c r="R498" i="225" l="1"/>
  <c r="Q471" i="225"/>
  <c r="P471" i="225"/>
  <c r="A72" i="225" l="1"/>
  <c r="R497" i="225"/>
  <c r="R495" i="225"/>
  <c r="R494" i="225"/>
  <c r="R493" i="225"/>
  <c r="R492" i="225"/>
  <c r="R491" i="225"/>
  <c r="R490" i="225"/>
  <c r="R489" i="225"/>
  <c r="R487" i="225"/>
  <c r="R484" i="225"/>
  <c r="R483" i="225"/>
  <c r="R482" i="225"/>
  <c r="R481" i="225"/>
  <c r="R480" i="225"/>
  <c r="R479" i="225"/>
  <c r="R475" i="225"/>
  <c r="R474" i="225"/>
  <c r="R473" i="225"/>
  <c r="R472" i="225"/>
  <c r="R469" i="225"/>
  <c r="R468" i="225"/>
  <c r="R467" i="225"/>
  <c r="R466" i="225"/>
  <c r="R465" i="225"/>
  <c r="R464" i="225"/>
  <c r="R462" i="225"/>
  <c r="R460" i="225"/>
  <c r="R458" i="225"/>
  <c r="R457" i="225"/>
  <c r="R456" i="225"/>
  <c r="Q455" i="225"/>
  <c r="P455" i="225"/>
  <c r="R453" i="225"/>
  <c r="A77" i="225"/>
  <c r="M216" i="225"/>
  <c r="C216" i="225" s="1"/>
  <c r="C217" i="225" s="1"/>
  <c r="C218" i="225" s="1"/>
  <c r="L216" i="225"/>
  <c r="L218" i="225" s="1"/>
  <c r="O187" i="225"/>
  <c r="P187" i="225"/>
  <c r="Q187" i="225"/>
  <c r="R187" i="225"/>
  <c r="S187" i="225"/>
  <c r="T187" i="225"/>
  <c r="U187" i="225"/>
  <c r="V187" i="225"/>
  <c r="W187" i="225"/>
  <c r="X187" i="225"/>
  <c r="Y187" i="225"/>
  <c r="Z187" i="225"/>
  <c r="AA187" i="225"/>
  <c r="AB187" i="225"/>
  <c r="AC187" i="225"/>
  <c r="AD187" i="225"/>
  <c r="AE187" i="225"/>
  <c r="AF187" i="225"/>
  <c r="AG187" i="225"/>
  <c r="AH187" i="225"/>
  <c r="AI187" i="225"/>
  <c r="AJ187" i="225"/>
  <c r="AK187" i="225"/>
  <c r="AL187" i="225"/>
  <c r="P362" i="225"/>
  <c r="Q362" i="225"/>
  <c r="R362" i="225"/>
  <c r="S362" i="225"/>
  <c r="T362" i="225"/>
  <c r="U362" i="225"/>
  <c r="V362" i="225"/>
  <c r="W362" i="225"/>
  <c r="X362" i="225"/>
  <c r="Y362" i="225"/>
  <c r="Z362" i="225"/>
  <c r="AA362" i="225"/>
  <c r="AB362" i="225"/>
  <c r="AC362" i="225"/>
  <c r="AD362" i="225"/>
  <c r="AE362" i="225"/>
  <c r="AF362" i="225"/>
  <c r="AG362" i="225"/>
  <c r="AH362" i="225"/>
  <c r="AI362" i="225"/>
  <c r="AJ362" i="225"/>
  <c r="AK362" i="225"/>
  <c r="AL362" i="225"/>
  <c r="AM362" i="225"/>
  <c r="AN362" i="225"/>
  <c r="O362" i="225"/>
  <c r="R463" i="225" l="1"/>
  <c r="R455" i="225"/>
  <c r="R478" i="225"/>
  <c r="L217" i="225"/>
  <c r="G8" i="225" l="1"/>
  <c r="N3" i="225"/>
  <c r="M3" i="225"/>
  <c r="L3" i="225"/>
  <c r="K3" i="225"/>
  <c r="G3" i="225"/>
  <c r="J3" i="225" s="1"/>
  <c r="L387" i="225" l="1"/>
  <c r="L76" i="225"/>
  <c r="L360" i="225"/>
  <c r="L183" i="225"/>
  <c r="L63" i="225"/>
  <c r="L289" i="225"/>
  <c r="L398" i="225"/>
  <c r="L97" i="225"/>
  <c r="L342" i="225"/>
  <c r="L54" i="225"/>
  <c r="L300" i="225"/>
  <c r="L154" i="225"/>
  <c r="L451" i="225"/>
  <c r="L237" i="225"/>
  <c r="L136" i="225"/>
  <c r="L209" i="225"/>
  <c r="L200" i="225"/>
  <c r="A399" i="225"/>
  <c r="V399" i="225" l="1"/>
  <c r="W93" i="225" l="1"/>
  <c r="V93" i="225"/>
  <c r="W92" i="225"/>
  <c r="V92" i="225"/>
  <c r="W91" i="225"/>
  <c r="V91" i="225"/>
  <c r="W90" i="225"/>
  <c r="V90" i="225"/>
  <c r="W89" i="225"/>
  <c r="V89" i="225"/>
  <c r="W88" i="225"/>
  <c r="V88" i="225"/>
  <c r="W87" i="225"/>
  <c r="V87" i="225"/>
  <c r="W86" i="225"/>
  <c r="V86" i="225"/>
  <c r="W84" i="225"/>
  <c r="V84" i="225"/>
  <c r="W83" i="225"/>
  <c r="V83" i="225"/>
  <c r="W81" i="225"/>
  <c r="V81" i="225"/>
  <c r="W80" i="225"/>
  <c r="V80" i="225"/>
  <c r="W79" i="225"/>
  <c r="V79" i="225"/>
  <c r="W78" i="225"/>
  <c r="V78" i="225"/>
  <c r="A78" i="225"/>
  <c r="A79" i="225" s="1"/>
  <c r="A80" i="225" s="1"/>
  <c r="A81" i="225" s="1"/>
  <c r="A82" i="225" s="1"/>
  <c r="A83" i="225" s="1"/>
  <c r="A84" i="225" s="1"/>
  <c r="A85" i="225" s="1"/>
  <c r="A86" i="225" s="1"/>
  <c r="A87" i="225" s="1"/>
  <c r="A88" i="225" s="1"/>
  <c r="A89" i="225" s="1"/>
  <c r="A90" i="225" s="1"/>
  <c r="A91" i="225" s="1"/>
  <c r="A92" i="225" s="1"/>
  <c r="A93" i="225" s="1"/>
  <c r="AL310" i="225" l="1"/>
  <c r="AK310" i="225"/>
  <c r="AJ310" i="225"/>
  <c r="AI310" i="225"/>
  <c r="AH310" i="225"/>
  <c r="AG310" i="225"/>
  <c r="AF310" i="225"/>
  <c r="AE310" i="225"/>
  <c r="AD310" i="225"/>
  <c r="AC310" i="225"/>
  <c r="AB310" i="225"/>
  <c r="AA310" i="225"/>
  <c r="Z310" i="225"/>
  <c r="Y310" i="225"/>
  <c r="X310" i="225"/>
  <c r="W310" i="225"/>
  <c r="V310" i="225"/>
  <c r="U310" i="225"/>
  <c r="T310" i="225"/>
  <c r="S310" i="225"/>
  <c r="R310" i="225"/>
  <c r="Q310" i="225"/>
  <c r="P310" i="225"/>
  <c r="O310" i="225"/>
  <c r="AL307" i="225"/>
  <c r="AK307" i="225"/>
  <c r="AJ307" i="225"/>
  <c r="AI307" i="225"/>
  <c r="AH307" i="225"/>
  <c r="AG307" i="225"/>
  <c r="AF307" i="225"/>
  <c r="AE307" i="225"/>
  <c r="AD307" i="225"/>
  <c r="AC307" i="225"/>
  <c r="AB307" i="225"/>
  <c r="AA307" i="225"/>
  <c r="Z307" i="225"/>
  <c r="Y307" i="225"/>
  <c r="X307" i="225"/>
  <c r="W307" i="225"/>
  <c r="V307" i="225"/>
  <c r="U307" i="225"/>
  <c r="T307" i="225"/>
  <c r="S307" i="225"/>
  <c r="R307" i="225"/>
  <c r="Q307" i="225"/>
  <c r="P307" i="225"/>
  <c r="O307" i="225"/>
  <c r="AL304" i="225"/>
  <c r="AK304" i="225"/>
  <c r="AJ304" i="225"/>
  <c r="AI304" i="225"/>
  <c r="AH304" i="225"/>
  <c r="AG304" i="225"/>
  <c r="AF304" i="225"/>
  <c r="AE304" i="225"/>
  <c r="AD304" i="225"/>
  <c r="AC304" i="225"/>
  <c r="AB304" i="225"/>
  <c r="AA304" i="225"/>
  <c r="Z304" i="225"/>
  <c r="Y304" i="225"/>
  <c r="X304" i="225"/>
  <c r="W304" i="225"/>
  <c r="V304" i="225"/>
  <c r="U304" i="225"/>
  <c r="T304" i="225"/>
  <c r="S304" i="225"/>
  <c r="R304" i="225"/>
  <c r="Q304" i="225"/>
  <c r="P304" i="225"/>
  <c r="O304" i="225"/>
  <c r="AL301" i="225"/>
  <c r="AL300" i="225" s="1"/>
  <c r="AK301" i="225"/>
  <c r="AK300" i="225" s="1"/>
  <c r="AJ301" i="225"/>
  <c r="AJ300" i="225" s="1"/>
  <c r="AI301" i="225"/>
  <c r="AI300" i="225" s="1"/>
  <c r="AH301" i="225"/>
  <c r="AH300" i="225" s="1"/>
  <c r="AG301" i="225"/>
  <c r="AF301" i="225"/>
  <c r="AF300" i="225" s="1"/>
  <c r="AE301" i="225"/>
  <c r="AE300" i="225" s="1"/>
  <c r="AD301" i="225"/>
  <c r="AD300" i="225" s="1"/>
  <c r="AC301" i="225"/>
  <c r="AC300" i="225" s="1"/>
  <c r="AB301" i="225"/>
  <c r="AB300" i="225" s="1"/>
  <c r="AA301" i="225"/>
  <c r="AA300" i="225" s="1"/>
  <c r="Z301" i="225"/>
  <c r="Y301" i="225"/>
  <c r="Y300" i="225" s="1"/>
  <c r="X301" i="225"/>
  <c r="W301" i="225"/>
  <c r="W300" i="225" s="1"/>
  <c r="V301" i="225"/>
  <c r="U301" i="225"/>
  <c r="U300" i="225" s="1"/>
  <c r="T301" i="225"/>
  <c r="T300" i="225" s="1"/>
  <c r="S301" i="225"/>
  <c r="S300" i="225" s="1"/>
  <c r="R301" i="225"/>
  <c r="R300" i="225" s="1"/>
  <c r="Q301" i="225"/>
  <c r="Q300" i="225" s="1"/>
  <c r="P301" i="225"/>
  <c r="O301" i="225"/>
  <c r="O300" i="225" s="1"/>
  <c r="S453" i="225" l="1"/>
  <c r="S452" i="225" s="1"/>
  <c r="N647" i="225"/>
  <c r="N699" i="225"/>
  <c r="U699" i="225"/>
  <c r="R650" i="225"/>
  <c r="Q651" i="225"/>
  <c r="S652" i="225"/>
  <c r="Q705" i="225"/>
  <c r="U704" i="225"/>
  <c r="Q706" i="225"/>
  <c r="R651" i="225"/>
  <c r="T702" i="225"/>
  <c r="Q700" i="225"/>
  <c r="T699" i="225"/>
  <c r="U701" i="225"/>
  <c r="T701" i="225"/>
  <c r="U706" i="225"/>
  <c r="T706" i="225"/>
  <c r="Q707" i="225"/>
  <c r="Q647" i="225"/>
  <c r="Q652" i="225"/>
  <c r="U708" i="225"/>
  <c r="T708" i="225"/>
  <c r="R653" i="225"/>
  <c r="Q653" i="225"/>
  <c r="S650" i="225"/>
  <c r="U707" i="225"/>
  <c r="S651" i="225"/>
  <c r="Q704" i="225"/>
  <c r="T704" i="225"/>
  <c r="S653" i="225"/>
  <c r="Q654" i="225"/>
  <c r="R655" i="225"/>
  <c r="R654" i="225"/>
  <c r="T700" i="225"/>
  <c r="Q708" i="225"/>
  <c r="Q703" i="225"/>
  <c r="R649" i="225"/>
  <c r="S654" i="225"/>
  <c r="U703" i="225"/>
  <c r="R648" i="225"/>
  <c r="R652" i="225"/>
  <c r="S656" i="225"/>
  <c r="S655" i="225"/>
  <c r="R656" i="225"/>
  <c r="S647" i="225"/>
  <c r="Q701" i="225"/>
  <c r="T703" i="225"/>
  <c r="S649" i="225"/>
  <c r="U705" i="225"/>
  <c r="S648" i="225"/>
  <c r="T705" i="225"/>
  <c r="Q648" i="225"/>
  <c r="U702" i="225"/>
  <c r="Q702" i="225"/>
  <c r="Q699" i="225"/>
  <c r="Q649" i="225"/>
  <c r="Q650" i="225"/>
  <c r="U700" i="225"/>
  <c r="Q656" i="225"/>
  <c r="R647" i="225"/>
  <c r="Q655" i="225"/>
  <c r="T707" i="225"/>
  <c r="N650" i="225"/>
  <c r="N653" i="225"/>
  <c r="N706" i="225"/>
  <c r="N705" i="225"/>
  <c r="N648" i="225"/>
  <c r="N707" i="225"/>
  <c r="N704" i="225"/>
  <c r="N703" i="225"/>
  <c r="N702" i="225"/>
  <c r="N652" i="225"/>
  <c r="N656" i="225"/>
  <c r="N655" i="225"/>
  <c r="N654" i="225"/>
  <c r="N700" i="225"/>
  <c r="N708" i="225"/>
  <c r="N701" i="225"/>
  <c r="N649" i="225"/>
  <c r="N651" i="225"/>
  <c r="P300" i="225"/>
  <c r="Z300" i="225"/>
  <c r="X300" i="225"/>
  <c r="AG300" i="225"/>
  <c r="V300" i="225"/>
  <c r="Q488" i="225"/>
  <c r="P476" i="225"/>
  <c r="P461" i="225"/>
  <c r="P459" i="225" s="1"/>
  <c r="Q461" i="225"/>
  <c r="Q476" i="225"/>
  <c r="P488" i="225"/>
  <c r="P486" i="225" s="1"/>
  <c r="P477" i="225" s="1"/>
  <c r="V453" i="225"/>
  <c r="AM453" i="225"/>
  <c r="AH453" i="225"/>
  <c r="AI453" i="225"/>
  <c r="AB453" i="225"/>
  <c r="AC453" i="225"/>
  <c r="X453" i="225"/>
  <c r="AD453" i="225"/>
  <c r="W453" i="225"/>
  <c r="Y453" i="225"/>
  <c r="AJ453" i="225"/>
  <c r="AK453" i="225"/>
  <c r="T453" i="225"/>
  <c r="AE453" i="225"/>
  <c r="AF453" i="225"/>
  <c r="AL453" i="225"/>
  <c r="Z453" i="225"/>
  <c r="AA453" i="225"/>
  <c r="AG453" i="225"/>
  <c r="U453" i="225"/>
  <c r="Z606" i="225" l="1"/>
  <c r="Z604" i="225" s="1"/>
  <c r="AB604" i="225" s="1"/>
  <c r="M648" i="225"/>
  <c r="M700" i="225"/>
  <c r="M699" i="225"/>
  <c r="M647" i="225"/>
  <c r="O588" i="225"/>
  <c r="U592" i="225"/>
  <c r="AA606" i="225"/>
  <c r="AA604" i="225" s="1"/>
  <c r="AI587" i="225"/>
  <c r="AO591" i="225"/>
  <c r="Q606" i="225"/>
  <c r="X587" i="225"/>
  <c r="X589" i="225" s="1"/>
  <c r="AD591" i="225"/>
  <c r="AD593" i="225" s="1"/>
  <c r="AJ600" i="225"/>
  <c r="AJ598" i="225" s="1"/>
  <c r="AP618" i="225"/>
  <c r="AP616" i="225" s="1"/>
  <c r="AL590" i="225"/>
  <c r="AN590" i="225" s="1"/>
  <c r="N600" i="225"/>
  <c r="T618" i="225"/>
  <c r="AA590" i="225"/>
  <c r="AG594" i="225"/>
  <c r="AM612" i="225"/>
  <c r="AM610" i="225" s="1"/>
  <c r="Q590" i="225"/>
  <c r="S590" i="225" s="1"/>
  <c r="W594" i="225"/>
  <c r="Y594" i="225" s="1"/>
  <c r="AC612" i="225"/>
  <c r="AJ588" i="225"/>
  <c r="AP592" i="225"/>
  <c r="R612" i="225"/>
  <c r="R610" i="225" s="1"/>
  <c r="Z588" i="225"/>
  <c r="AB588" i="225" s="1"/>
  <c r="AF592" i="225"/>
  <c r="AH592" i="225" s="1"/>
  <c r="AL606" i="225"/>
  <c r="AA588" i="225"/>
  <c r="AG592" i="225"/>
  <c r="AM606" i="225"/>
  <c r="AM604" i="225" s="1"/>
  <c r="Q588" i="225"/>
  <c r="S588" i="225" s="1"/>
  <c r="W592" i="225"/>
  <c r="Y592" i="225" s="1"/>
  <c r="AC606" i="225"/>
  <c r="AJ587" i="225"/>
  <c r="AJ589" i="225" s="1"/>
  <c r="AP591" i="225"/>
  <c r="AP593" i="225" s="1"/>
  <c r="R606" i="225"/>
  <c r="R604" i="225" s="1"/>
  <c r="N587" i="225"/>
  <c r="T591" i="225"/>
  <c r="Z600" i="225"/>
  <c r="AF618" i="225"/>
  <c r="AM590" i="225"/>
  <c r="O600" i="225"/>
  <c r="O598" i="225" s="1"/>
  <c r="U618" i="225"/>
  <c r="U616" i="225" s="1"/>
  <c r="AC590" i="225"/>
  <c r="AE590" i="225" s="1"/>
  <c r="AI594" i="225"/>
  <c r="AK594" i="225" s="1"/>
  <c r="AO612" i="225"/>
  <c r="R590" i="225"/>
  <c r="X594" i="225"/>
  <c r="AD612" i="225"/>
  <c r="AD610" i="225" s="1"/>
  <c r="AL588" i="225"/>
  <c r="AN588" i="225" s="1"/>
  <c r="N594" i="225"/>
  <c r="P594" i="225" s="1"/>
  <c r="T612" i="225"/>
  <c r="AM588" i="225"/>
  <c r="O594" i="225"/>
  <c r="U612" i="225"/>
  <c r="U610" i="225" s="1"/>
  <c r="AC588" i="225"/>
  <c r="AE588" i="225" s="1"/>
  <c r="AI592" i="225"/>
  <c r="AK592" i="225" s="1"/>
  <c r="AO606" i="225"/>
  <c r="R588" i="225"/>
  <c r="X592" i="225"/>
  <c r="AD606" i="225"/>
  <c r="AD604" i="225" s="1"/>
  <c r="Z587" i="225"/>
  <c r="AF591" i="225"/>
  <c r="AL600" i="225"/>
  <c r="O587" i="225"/>
  <c r="O589" i="225" s="1"/>
  <c r="U591" i="225"/>
  <c r="U593" i="225" s="1"/>
  <c r="AA600" i="225"/>
  <c r="AA598" i="225" s="1"/>
  <c r="AG618" i="225"/>
  <c r="AG616" i="225" s="1"/>
  <c r="AO590" i="225"/>
  <c r="AQ590" i="225" s="1"/>
  <c r="Q600" i="225"/>
  <c r="W618" i="225"/>
  <c r="AD590" i="225"/>
  <c r="AJ594" i="225"/>
  <c r="AP612" i="225"/>
  <c r="AP610" i="225" s="1"/>
  <c r="T590" i="225"/>
  <c r="V590" i="225" s="1"/>
  <c r="Z594" i="225"/>
  <c r="AB594" i="225" s="1"/>
  <c r="AF612" i="225"/>
  <c r="U590" i="225"/>
  <c r="AA594" i="225"/>
  <c r="AG612" i="225"/>
  <c r="AG610" i="225" s="1"/>
  <c r="AO588" i="225"/>
  <c r="AQ588" i="225" s="1"/>
  <c r="Q594" i="225"/>
  <c r="S594" i="225" s="1"/>
  <c r="W612" i="225"/>
  <c r="AD588" i="225"/>
  <c r="AJ592" i="225"/>
  <c r="AP606" i="225"/>
  <c r="AP604" i="225" s="1"/>
  <c r="AL587" i="225"/>
  <c r="N592" i="225"/>
  <c r="P592" i="225" s="1"/>
  <c r="T606" i="225"/>
  <c r="AA587" i="225"/>
  <c r="AA589" i="225" s="1"/>
  <c r="AG591" i="225"/>
  <c r="AG593" i="225" s="1"/>
  <c r="AM600" i="225"/>
  <c r="AM598" i="225" s="1"/>
  <c r="Q587" i="225"/>
  <c r="W591" i="225"/>
  <c r="AC600" i="225"/>
  <c r="AI618" i="225"/>
  <c r="AP590" i="225"/>
  <c r="R600" i="225"/>
  <c r="R598" i="225" s="1"/>
  <c r="X618" i="225"/>
  <c r="X616" i="225" s="1"/>
  <c r="AF590" i="225"/>
  <c r="AH590" i="225" s="1"/>
  <c r="AL594" i="225"/>
  <c r="AN594" i="225" s="1"/>
  <c r="N618" i="225"/>
  <c r="AG590" i="225"/>
  <c r="AM594" i="225"/>
  <c r="O618" i="225"/>
  <c r="O616" i="225" s="1"/>
  <c r="W590" i="225"/>
  <c r="Y590" i="225" s="1"/>
  <c r="AC594" i="225"/>
  <c r="AE594" i="225" s="1"/>
  <c r="AI612" i="225"/>
  <c r="AP588" i="225"/>
  <c r="R594" i="225"/>
  <c r="X612" i="225"/>
  <c r="X610" i="225" s="1"/>
  <c r="T588" i="225"/>
  <c r="V588" i="225" s="1"/>
  <c r="Z592" i="225"/>
  <c r="AB592" i="225" s="1"/>
  <c r="AF606" i="225"/>
  <c r="AM587" i="225"/>
  <c r="AM589" i="225" s="1"/>
  <c r="O592" i="225"/>
  <c r="U606" i="225"/>
  <c r="U604" i="225" s="1"/>
  <c r="AC587" i="225"/>
  <c r="AI591" i="225"/>
  <c r="AO600" i="225"/>
  <c r="R587" i="225"/>
  <c r="R589" i="225" s="1"/>
  <c r="X591" i="225"/>
  <c r="X593" i="225" s="1"/>
  <c r="AD600" i="225"/>
  <c r="AD598" i="225" s="1"/>
  <c r="AJ618" i="225"/>
  <c r="AJ616" i="225" s="1"/>
  <c r="N591" i="225"/>
  <c r="T600" i="225"/>
  <c r="Z618" i="225"/>
  <c r="O591" i="225"/>
  <c r="O593" i="225" s="1"/>
  <c r="U600" i="225"/>
  <c r="U598" i="225" s="1"/>
  <c r="AA618" i="225"/>
  <c r="AA616" i="225" s="1"/>
  <c r="AI590" i="225"/>
  <c r="AK590" i="225" s="1"/>
  <c r="AO594" i="225"/>
  <c r="AQ594" i="225" s="1"/>
  <c r="Q618" i="225"/>
  <c r="X590" i="225"/>
  <c r="AD594" i="225"/>
  <c r="AJ612" i="225"/>
  <c r="AJ610" i="225" s="1"/>
  <c r="AF588" i="225"/>
  <c r="AH588" i="225" s="1"/>
  <c r="AL592" i="225"/>
  <c r="AN592" i="225" s="1"/>
  <c r="N612" i="225"/>
  <c r="U588" i="225"/>
  <c r="AA592" i="225"/>
  <c r="AG606" i="225"/>
  <c r="AG604" i="225" s="1"/>
  <c r="AO587" i="225"/>
  <c r="Q592" i="225"/>
  <c r="S592" i="225" s="1"/>
  <c r="W606" i="225"/>
  <c r="AD587" i="225"/>
  <c r="AD589" i="225" s="1"/>
  <c r="AJ591" i="225"/>
  <c r="AJ593" i="225" s="1"/>
  <c r="AP600" i="225"/>
  <c r="AP598" i="225" s="1"/>
  <c r="T587" i="225"/>
  <c r="Z591" i="225"/>
  <c r="AF600" i="225"/>
  <c r="AL618" i="225"/>
  <c r="U587" i="225"/>
  <c r="U589" i="225" s="1"/>
  <c r="AA591" i="225"/>
  <c r="AA593" i="225" s="1"/>
  <c r="AG600" i="225"/>
  <c r="AG598" i="225" s="1"/>
  <c r="AM618" i="225"/>
  <c r="AM616" i="225" s="1"/>
  <c r="Q591" i="225"/>
  <c r="W600" i="225"/>
  <c r="AC618" i="225"/>
  <c r="AJ590" i="225"/>
  <c r="AP594" i="225"/>
  <c r="R618" i="225"/>
  <c r="R616" i="225" s="1"/>
  <c r="N590" i="225"/>
  <c r="P590" i="225" s="1"/>
  <c r="T594" i="225"/>
  <c r="V594" i="225" s="1"/>
  <c r="Z612" i="225"/>
  <c r="AG588" i="225"/>
  <c r="AM592" i="225"/>
  <c r="O612" i="225"/>
  <c r="O610" i="225" s="1"/>
  <c r="W588" i="225"/>
  <c r="Y588" i="225" s="1"/>
  <c r="AC592" i="225"/>
  <c r="AE592" i="225" s="1"/>
  <c r="AI606" i="225"/>
  <c r="AP587" i="225"/>
  <c r="AP589" i="225" s="1"/>
  <c r="R592" i="225"/>
  <c r="X606" i="225"/>
  <c r="X604" i="225" s="1"/>
  <c r="AF587" i="225"/>
  <c r="AL591" i="225"/>
  <c r="N606" i="225"/>
  <c r="AG587" i="225"/>
  <c r="AG589" i="225" s="1"/>
  <c r="AM591" i="225"/>
  <c r="AM593" i="225" s="1"/>
  <c r="O606" i="225"/>
  <c r="O604" i="225" s="1"/>
  <c r="W587" i="225"/>
  <c r="AC591" i="225"/>
  <c r="AI600" i="225"/>
  <c r="AO618" i="225"/>
  <c r="R591" i="225"/>
  <c r="R593" i="225" s="1"/>
  <c r="X600" i="225"/>
  <c r="X598" i="225" s="1"/>
  <c r="AD618" i="225"/>
  <c r="AD616" i="225" s="1"/>
  <c r="Z590" i="225"/>
  <c r="AB590" i="225" s="1"/>
  <c r="AF594" i="225"/>
  <c r="AH594" i="225" s="1"/>
  <c r="AL612" i="225"/>
  <c r="O590" i="225"/>
  <c r="U594" i="225"/>
  <c r="AA612" i="225"/>
  <c r="AA610" i="225" s="1"/>
  <c r="AI588" i="225"/>
  <c r="AK588" i="225" s="1"/>
  <c r="AO592" i="225"/>
  <c r="AQ592" i="225" s="1"/>
  <c r="Q612" i="225"/>
  <c r="X588" i="225"/>
  <c r="AD592" i="225"/>
  <c r="AJ606" i="225"/>
  <c r="AJ604" i="225" s="1"/>
  <c r="N588" i="225"/>
  <c r="P588" i="225" s="1"/>
  <c r="T592" i="225"/>
  <c r="V592" i="225" s="1"/>
  <c r="R471" i="225"/>
  <c r="R476" i="225"/>
  <c r="R461" i="225"/>
  <c r="Q459" i="225"/>
  <c r="Q454" i="225" s="1"/>
  <c r="Q452" i="225" s="1"/>
  <c r="P454" i="225"/>
  <c r="P452" i="225" s="1"/>
  <c r="Q486" i="225"/>
  <c r="Q477" i="225" s="1"/>
  <c r="R488" i="225"/>
  <c r="R544" i="225"/>
  <c r="R543" i="225"/>
  <c r="R535" i="225"/>
  <c r="R534" i="225"/>
  <c r="R533" i="225"/>
  <c r="AM532" i="225"/>
  <c r="AL532" i="225"/>
  <c r="AW532" i="225" s="1"/>
  <c r="AK532" i="225"/>
  <c r="AV532" i="225" s="1"/>
  <c r="AJ532" i="225"/>
  <c r="AU532" i="225" s="1"/>
  <c r="AI532" i="225"/>
  <c r="AT532" i="225" s="1"/>
  <c r="AH532" i="225"/>
  <c r="AS532" i="225" s="1"/>
  <c r="AG532" i="225"/>
  <c r="AR532" i="225" s="1"/>
  <c r="AF532" i="225"/>
  <c r="AQ532" i="225" s="1"/>
  <c r="AE532" i="225"/>
  <c r="AP532" i="225" s="1"/>
  <c r="AD532" i="225"/>
  <c r="AO532" i="225" s="1"/>
  <c r="AC532" i="225"/>
  <c r="AB532" i="225"/>
  <c r="AA532" i="225"/>
  <c r="Z532" i="225"/>
  <c r="Y532" i="225"/>
  <c r="X532" i="225"/>
  <c r="W532" i="225"/>
  <c r="V532" i="225"/>
  <c r="U532" i="225"/>
  <c r="T532" i="225"/>
  <c r="S532" i="225"/>
  <c r="AN532" i="225" s="1"/>
  <c r="Q532" i="225"/>
  <c r="P532" i="225"/>
  <c r="O532" i="225"/>
  <c r="R531" i="225"/>
  <c r="R530" i="225"/>
  <c r="R529" i="225"/>
  <c r="R528" i="225"/>
  <c r="AW527" i="225"/>
  <c r="AV527" i="225"/>
  <c r="AU527" i="225"/>
  <c r="AT527" i="225"/>
  <c r="AS527" i="225"/>
  <c r="AR527" i="225"/>
  <c r="AQ527" i="225"/>
  <c r="AP527" i="225"/>
  <c r="AO527" i="225"/>
  <c r="AN527" i="225"/>
  <c r="R525" i="225"/>
  <c r="R510" i="225"/>
  <c r="R509" i="225"/>
  <c r="AB606" i="225" l="1"/>
  <c r="AO616" i="225"/>
  <c r="AQ616" i="225" s="1"/>
  <c r="AQ618" i="225"/>
  <c r="AL593" i="225"/>
  <c r="AN591" i="225"/>
  <c r="AL616" i="225"/>
  <c r="AN616" i="225" s="1"/>
  <c r="AN618" i="225"/>
  <c r="AQ600" i="225"/>
  <c r="AO598" i="225"/>
  <c r="AQ598" i="225" s="1"/>
  <c r="AI616" i="225"/>
  <c r="AK616" i="225" s="1"/>
  <c r="AK618" i="225"/>
  <c r="AL598" i="225"/>
  <c r="AN598" i="225" s="1"/>
  <c r="AN600" i="225"/>
  <c r="AF616" i="225"/>
  <c r="AH616" i="225" s="1"/>
  <c r="AH618" i="225"/>
  <c r="S606" i="225"/>
  <c r="Q604" i="225"/>
  <c r="S604" i="225" s="1"/>
  <c r="AK600" i="225"/>
  <c r="AI598" i="225"/>
  <c r="AK598" i="225" s="1"/>
  <c r="AH587" i="225"/>
  <c r="AF589" i="225"/>
  <c r="AE618" i="225"/>
  <c r="AC616" i="225"/>
  <c r="AE616" i="225" s="1"/>
  <c r="AF598" i="225"/>
  <c r="AH598" i="225" s="1"/>
  <c r="AH600" i="225"/>
  <c r="AQ587" i="225"/>
  <c r="AO589" i="225"/>
  <c r="Z616" i="225"/>
  <c r="AB616" i="225" s="1"/>
  <c r="AB618" i="225"/>
  <c r="AK591" i="225"/>
  <c r="AI593" i="225"/>
  <c r="AE600" i="225"/>
  <c r="AC598" i="225"/>
  <c r="AE598" i="225" s="1"/>
  <c r="AN587" i="225"/>
  <c r="AL589" i="225"/>
  <c r="W616" i="225"/>
  <c r="Y616" i="225" s="1"/>
  <c r="Y618" i="225"/>
  <c r="AF593" i="225"/>
  <c r="AH591" i="225"/>
  <c r="AB600" i="225"/>
  <c r="Z598" i="225"/>
  <c r="AB598" i="225" s="1"/>
  <c r="V618" i="225"/>
  <c r="T616" i="225"/>
  <c r="V616" i="225" s="1"/>
  <c r="AO593" i="225"/>
  <c r="AQ591" i="225"/>
  <c r="AL610" i="225"/>
  <c r="AN610" i="225" s="1"/>
  <c r="AN612" i="225"/>
  <c r="AE591" i="225"/>
  <c r="AC593" i="225"/>
  <c r="Y600" i="225"/>
  <c r="W598" i="225"/>
  <c r="Y598" i="225" s="1"/>
  <c r="AB591" i="225"/>
  <c r="Z593" i="225"/>
  <c r="V600" i="225"/>
  <c r="T598" i="225"/>
  <c r="V598" i="225" s="1"/>
  <c r="AC589" i="225"/>
  <c r="AE587" i="225"/>
  <c r="P618" i="225"/>
  <c r="N616" i="225"/>
  <c r="P616" i="225" s="1"/>
  <c r="Y591" i="225"/>
  <c r="W593" i="225"/>
  <c r="Q598" i="225"/>
  <c r="S598" i="225" s="1"/>
  <c r="S600" i="225"/>
  <c r="Z589" i="225"/>
  <c r="AB587" i="225"/>
  <c r="AO610" i="225"/>
  <c r="AQ610" i="225" s="1"/>
  <c r="AQ612" i="225"/>
  <c r="T593" i="225"/>
  <c r="V591" i="225"/>
  <c r="P600" i="225"/>
  <c r="N598" i="225"/>
  <c r="P598" i="225" s="1"/>
  <c r="AK587" i="225"/>
  <c r="AI589" i="225"/>
  <c r="W589" i="225"/>
  <c r="Y587" i="225"/>
  <c r="AB612" i="225"/>
  <c r="Z610" i="225"/>
  <c r="AB610" i="225" s="1"/>
  <c r="S591" i="225"/>
  <c r="Q593" i="225"/>
  <c r="V587" i="225"/>
  <c r="T589" i="225"/>
  <c r="S618" i="225"/>
  <c r="Q616" i="225"/>
  <c r="S616" i="225" s="1"/>
  <c r="P591" i="225"/>
  <c r="N593" i="225"/>
  <c r="S587" i="225"/>
  <c r="Q589" i="225"/>
  <c r="AH612" i="225"/>
  <c r="AF610" i="225"/>
  <c r="AH610" i="225" s="1"/>
  <c r="N589" i="225"/>
  <c r="P587" i="225"/>
  <c r="AE612" i="225"/>
  <c r="AC610" i="225"/>
  <c r="AE610" i="225" s="1"/>
  <c r="Q610" i="225"/>
  <c r="S610" i="225" s="1"/>
  <c r="S612" i="225"/>
  <c r="AI610" i="225"/>
  <c r="AK610" i="225" s="1"/>
  <c r="AK612" i="225"/>
  <c r="T610" i="225"/>
  <c r="V610" i="225" s="1"/>
  <c r="V612" i="225"/>
  <c r="AI604" i="225"/>
  <c r="AK604" i="225" s="1"/>
  <c r="AK606" i="225"/>
  <c r="N610" i="225"/>
  <c r="P610" i="225" s="1"/>
  <c r="P612" i="225"/>
  <c r="W610" i="225"/>
  <c r="Y610" i="225" s="1"/>
  <c r="Y612" i="225"/>
  <c r="AL604" i="225"/>
  <c r="AN604" i="225" s="1"/>
  <c r="AN606" i="225"/>
  <c r="AH606" i="225"/>
  <c r="AF604" i="225"/>
  <c r="AH604" i="225" s="1"/>
  <c r="AQ606" i="225"/>
  <c r="AO604" i="225"/>
  <c r="AQ604" i="225" s="1"/>
  <c r="N604" i="225"/>
  <c r="P604" i="225" s="1"/>
  <c r="P606" i="225"/>
  <c r="W604" i="225"/>
  <c r="Y604" i="225" s="1"/>
  <c r="Y606" i="225"/>
  <c r="T604" i="225"/>
  <c r="V604" i="225" s="1"/>
  <c r="V606" i="225"/>
  <c r="AE606" i="225"/>
  <c r="AC604" i="225"/>
  <c r="AE604" i="225" s="1"/>
  <c r="AN452" i="225"/>
  <c r="O514" i="225"/>
  <c r="T452" i="225"/>
  <c r="AD452" i="225"/>
  <c r="R459" i="225"/>
  <c r="R477" i="225"/>
  <c r="R486" i="225"/>
  <c r="R454" i="225"/>
  <c r="R452" i="225"/>
  <c r="R532" i="225"/>
  <c r="AH512" i="225"/>
  <c r="AS512" i="225" s="1"/>
  <c r="AL511" i="225"/>
  <c r="AW511" i="225" s="1"/>
  <c r="AD507" i="225"/>
  <c r="AO507" i="225" s="1"/>
  <c r="Z504" i="225"/>
  <c r="AC511" i="225"/>
  <c r="Y506" i="225"/>
  <c r="AI506" i="225"/>
  <c r="AT506" i="225" s="1"/>
  <c r="X508" i="225"/>
  <c r="T505" i="225"/>
  <c r="AE512" i="225"/>
  <c r="AP512" i="225" s="1"/>
  <c r="AA507" i="225"/>
  <c r="W504" i="225"/>
  <c r="AH507" i="225"/>
  <c r="AS507" i="225" s="1"/>
  <c r="AD504" i="225"/>
  <c r="Y511" i="225"/>
  <c r="U506" i="225"/>
  <c r="T512" i="225"/>
  <c r="AJ506" i="225"/>
  <c r="AU506" i="225" s="1"/>
  <c r="Z512" i="225"/>
  <c r="V507" i="225"/>
  <c r="AE511" i="225"/>
  <c r="AP511" i="225" s="1"/>
  <c r="U511" i="225"/>
  <c r="AK505" i="225"/>
  <c r="AV505" i="225" s="1"/>
  <c r="AI504" i="225"/>
  <c r="AJ507" i="225"/>
  <c r="AU507" i="225" s="1"/>
  <c r="AF504" i="225"/>
  <c r="W512" i="225"/>
  <c r="AM506" i="225"/>
  <c r="AL512" i="225"/>
  <c r="AW512" i="225" s="1"/>
  <c r="Z507" i="225"/>
  <c r="V504" i="225"/>
  <c r="AK508" i="225"/>
  <c r="AV508" i="225" s="1"/>
  <c r="AG505" i="225"/>
  <c r="AR505" i="225" s="1"/>
  <c r="AF511" i="225"/>
  <c r="AQ511" i="225" s="1"/>
  <c r="AB506" i="225"/>
  <c r="AG508" i="225"/>
  <c r="AR508" i="225" s="1"/>
  <c r="AF512" i="225"/>
  <c r="AQ512" i="225" s="1"/>
  <c r="X504" i="225"/>
  <c r="AI511" i="225"/>
  <c r="AT511" i="225" s="1"/>
  <c r="AE506" i="225"/>
  <c r="AP506" i="225" s="1"/>
  <c r="V512" i="225"/>
  <c r="AL506" i="225"/>
  <c r="AW506" i="225" s="1"/>
  <c r="AI512" i="225"/>
  <c r="AT512" i="225" s="1"/>
  <c r="AC508" i="225"/>
  <c r="Y505" i="225"/>
  <c r="X511" i="225"/>
  <c r="T506" i="225"/>
  <c r="AH506" i="225"/>
  <c r="AS506" i="225" s="1"/>
  <c r="AM507" i="225"/>
  <c r="AC505" i="225"/>
  <c r="AB507" i="225"/>
  <c r="Q508" i="225"/>
  <c r="AD511" i="225"/>
  <c r="AO511" i="225" s="1"/>
  <c r="Z506" i="225"/>
  <c r="AM505" i="225"/>
  <c r="Y508" i="225"/>
  <c r="U505" i="225"/>
  <c r="X512" i="225"/>
  <c r="T507" i="225"/>
  <c r="W511" i="225"/>
  <c r="AA511" i="225"/>
  <c r="W506" i="225"/>
  <c r="AH511" i="225"/>
  <c r="AS511" i="225" s="1"/>
  <c r="AD506" i="225"/>
  <c r="AO506" i="225" s="1"/>
  <c r="AD512" i="225"/>
  <c r="AO512" i="225" s="1"/>
  <c r="U508" i="225"/>
  <c r="AK504" i="225"/>
  <c r="AJ508" i="225"/>
  <c r="AU508" i="225" s="1"/>
  <c r="AF505" i="225"/>
  <c r="AQ505" i="225" s="1"/>
  <c r="AL505" i="225"/>
  <c r="AW505" i="225" s="1"/>
  <c r="AK507" i="225"/>
  <c r="AV507" i="225" s="1"/>
  <c r="AG504" i="225"/>
  <c r="AJ511" i="225"/>
  <c r="AU511" i="225" s="1"/>
  <c r="AF506" i="225"/>
  <c r="AQ506" i="225" s="1"/>
  <c r="AE507" i="225"/>
  <c r="AP507" i="225" s="1"/>
  <c r="AM508" i="225"/>
  <c r="AI505" i="225"/>
  <c r="AT505" i="225" s="1"/>
  <c r="Z511" i="225"/>
  <c r="V506" i="225"/>
  <c r="AK512" i="225"/>
  <c r="AV512" i="225" s="1"/>
  <c r="AG507" i="225"/>
  <c r="AR507" i="225" s="1"/>
  <c r="AC504" i="225"/>
  <c r="AB508" i="225"/>
  <c r="X505" i="225"/>
  <c r="V511" i="225"/>
  <c r="AA504" i="225"/>
  <c r="AI508" i="225"/>
  <c r="AT508" i="225" s="1"/>
  <c r="AH508" i="225"/>
  <c r="AS508" i="225" s="1"/>
  <c r="AD505" i="225"/>
  <c r="AO505" i="225" s="1"/>
  <c r="AG512" i="225"/>
  <c r="AR512" i="225" s="1"/>
  <c r="AC507" i="225"/>
  <c r="Y504" i="225"/>
  <c r="AB511" i="225"/>
  <c r="X506" i="225"/>
  <c r="AA506" i="225"/>
  <c r="AE508" i="225"/>
  <c r="AP508" i="225" s="1"/>
  <c r="AA505" i="225"/>
  <c r="AL508" i="225"/>
  <c r="AW508" i="225" s="1"/>
  <c r="AH505" i="225"/>
  <c r="AS505" i="225" s="1"/>
  <c r="AC512" i="225"/>
  <c r="Y507" i="225"/>
  <c r="U504" i="225"/>
  <c r="T508" i="225"/>
  <c r="AJ504" i="225"/>
  <c r="AA512" i="225"/>
  <c r="W507" i="225"/>
  <c r="Z508" i="225"/>
  <c r="V505" i="225"/>
  <c r="Y512" i="225"/>
  <c r="U507" i="225"/>
  <c r="AM511" i="225"/>
  <c r="T511" i="225"/>
  <c r="AJ505" i="225"/>
  <c r="AU505" i="225" s="1"/>
  <c r="AE505" i="225"/>
  <c r="AP505" i="225" s="1"/>
  <c r="W508" i="225"/>
  <c r="AM504" i="225"/>
  <c r="AD508" i="225"/>
  <c r="AO508" i="225" s="1"/>
  <c r="Z505" i="225"/>
  <c r="U512" i="225"/>
  <c r="AK506" i="225"/>
  <c r="AV506" i="225" s="1"/>
  <c r="AJ512" i="225"/>
  <c r="AU512" i="225" s="1"/>
  <c r="AF507" i="225"/>
  <c r="AQ507" i="225" s="1"/>
  <c r="AB504" i="225"/>
  <c r="W505" i="225"/>
  <c r="AL507" i="225"/>
  <c r="AW507" i="225" s="1"/>
  <c r="AH504" i="225"/>
  <c r="AK511" i="225"/>
  <c r="AV511" i="225" s="1"/>
  <c r="AG506" i="225"/>
  <c r="AR506" i="225" s="1"/>
  <c r="AA508" i="225"/>
  <c r="AF508" i="225"/>
  <c r="AQ508" i="225" s="1"/>
  <c r="AB505" i="225"/>
  <c r="AM512" i="225"/>
  <c r="AI507" i="225"/>
  <c r="AT507" i="225" s="1"/>
  <c r="AE504" i="225"/>
  <c r="V508" i="225"/>
  <c r="AL504" i="225"/>
  <c r="AG511" i="225"/>
  <c r="AR511" i="225" s="1"/>
  <c r="AC506" i="225"/>
  <c r="AB512" i="225"/>
  <c r="X507" i="225"/>
  <c r="T504" i="225"/>
  <c r="S504" i="225"/>
  <c r="S505" i="225"/>
  <c r="AN505" i="225" s="1"/>
  <c r="S506" i="225"/>
  <c r="AN506" i="225" s="1"/>
  <c r="S507" i="225"/>
  <c r="AN507" i="225" s="1"/>
  <c r="Q504" i="225"/>
  <c r="S508" i="225"/>
  <c r="AN508" i="225" s="1"/>
  <c r="Q505" i="225"/>
  <c r="S511" i="225"/>
  <c r="AN511" i="225" s="1"/>
  <c r="Q506" i="225"/>
  <c r="S512" i="225"/>
  <c r="AN512" i="225" s="1"/>
  <c r="P508" i="225"/>
  <c r="Q507" i="225"/>
  <c r="Q511" i="225"/>
  <c r="O504" i="225"/>
  <c r="Q512" i="225"/>
  <c r="O512" i="225"/>
  <c r="P504" i="225"/>
  <c r="P505" i="225"/>
  <c r="P506" i="225"/>
  <c r="P507" i="225"/>
  <c r="O505" i="225"/>
  <c r="P511" i="225"/>
  <c r="O506" i="225"/>
  <c r="P512" i="225"/>
  <c r="O507" i="225"/>
  <c r="O508" i="225"/>
  <c r="O511" i="225"/>
  <c r="AO452" i="225" l="1"/>
  <c r="U452" i="225"/>
  <c r="V452" i="225" s="1"/>
  <c r="AK514" i="225"/>
  <c r="AV514" i="225" s="1"/>
  <c r="T514" i="225"/>
  <c r="AL514" i="225"/>
  <c r="AW514" i="225" s="1"/>
  <c r="AF514" i="225"/>
  <c r="AQ514" i="225" s="1"/>
  <c r="AI514" i="225"/>
  <c r="AT514" i="225" s="1"/>
  <c r="Z514" i="225"/>
  <c r="AR504" i="225"/>
  <c r="AN504" i="225"/>
  <c r="AP504" i="225"/>
  <c r="AS504" i="225"/>
  <c r="AO504" i="225"/>
  <c r="AW504" i="225"/>
  <c r="AT504" i="225"/>
  <c r="AV504" i="225"/>
  <c r="AQ504" i="225"/>
  <c r="AU504" i="225"/>
  <c r="AD514" i="225"/>
  <c r="AO514" i="225" s="1"/>
  <c r="AE514" i="225"/>
  <c r="AP514" i="225" s="1"/>
  <c r="P514" i="225"/>
  <c r="X514" i="225"/>
  <c r="U514" i="225"/>
  <c r="AM514" i="225"/>
  <c r="AB514" i="225"/>
  <c r="W514" i="225"/>
  <c r="Q514" i="225"/>
  <c r="AH514" i="225"/>
  <c r="AS514" i="225" s="1"/>
  <c r="Y514" i="225"/>
  <c r="V514" i="225"/>
  <c r="AG514" i="225"/>
  <c r="AR514" i="225" s="1"/>
  <c r="S514" i="225"/>
  <c r="AN514" i="225" s="1"/>
  <c r="AA514" i="225"/>
  <c r="AB516" i="225"/>
  <c r="AJ514" i="225"/>
  <c r="AU514" i="225" s="1"/>
  <c r="AC514" i="225"/>
  <c r="AG513" i="225"/>
  <c r="AR513" i="225" s="1"/>
  <c r="Y513" i="225"/>
  <c r="Y503" i="225" s="1"/>
  <c r="Q513" i="225"/>
  <c r="Q503" i="225" s="1"/>
  <c r="AF513" i="225"/>
  <c r="AQ513" i="225" s="1"/>
  <c r="X513" i="225"/>
  <c r="X503" i="225" s="1"/>
  <c r="P513" i="225"/>
  <c r="P503" i="225" s="1"/>
  <c r="AM513" i="225"/>
  <c r="AM503" i="225" s="1"/>
  <c r="AE513" i="225"/>
  <c r="AP513" i="225" s="1"/>
  <c r="W513" i="225"/>
  <c r="W503" i="225" s="1"/>
  <c r="O513" i="225"/>
  <c r="O503" i="225" s="1"/>
  <c r="AL513" i="225"/>
  <c r="AW513" i="225" s="1"/>
  <c r="AD513" i="225"/>
  <c r="AO513" i="225" s="1"/>
  <c r="V513" i="225"/>
  <c r="V503" i="225" s="1"/>
  <c r="AK513" i="225"/>
  <c r="AV513" i="225" s="1"/>
  <c r="AC513" i="225"/>
  <c r="AC503" i="225" s="1"/>
  <c r="U513" i="225"/>
  <c r="U503" i="225" s="1"/>
  <c r="AJ513" i="225"/>
  <c r="AU513" i="225" s="1"/>
  <c r="AB513" i="225"/>
  <c r="AB503" i="225" s="1"/>
  <c r="T513" i="225"/>
  <c r="T503" i="225" s="1"/>
  <c r="AI513" i="225"/>
  <c r="AT513" i="225" s="1"/>
  <c r="AA513" i="225"/>
  <c r="AA503" i="225" s="1"/>
  <c r="S513" i="225"/>
  <c r="AN513" i="225" s="1"/>
  <c r="AH513" i="225"/>
  <c r="AS513" i="225" s="1"/>
  <c r="Z513" i="225"/>
  <c r="Z503" i="225" s="1"/>
  <c r="AE452" i="225"/>
  <c r="R505" i="225"/>
  <c r="R508" i="225"/>
  <c r="R512" i="225"/>
  <c r="R506" i="225"/>
  <c r="R511" i="225"/>
  <c r="R507" i="225"/>
  <c r="R504" i="225"/>
  <c r="AP452" i="225" l="1"/>
  <c r="W452" i="225"/>
  <c r="R514" i="225"/>
  <c r="V516" i="225"/>
  <c r="AF503" i="225"/>
  <c r="AQ503" i="225" s="1"/>
  <c r="AI503" i="225"/>
  <c r="AT503" i="225" s="1"/>
  <c r="AE503" i="225"/>
  <c r="AP503" i="225" s="1"/>
  <c r="AD503" i="225"/>
  <c r="AO503" i="225" s="1"/>
  <c r="S503" i="225"/>
  <c r="AN503" i="225" s="1"/>
  <c r="AK503" i="225"/>
  <c r="AV503" i="225" s="1"/>
  <c r="AG503" i="225"/>
  <c r="AR503" i="225" s="1"/>
  <c r="AJ503" i="225"/>
  <c r="AU503" i="225" s="1"/>
  <c r="AL503" i="225"/>
  <c r="AW503" i="225" s="1"/>
  <c r="AH503" i="225"/>
  <c r="AS503" i="225" s="1"/>
  <c r="U516" i="225"/>
  <c r="Y516" i="225"/>
  <c r="AC516" i="225"/>
  <c r="AI516" i="225"/>
  <c r="AT516" i="225" s="1"/>
  <c r="U517" i="225"/>
  <c r="AF516" i="225"/>
  <c r="AQ516" i="225" s="1"/>
  <c r="AJ516" i="225"/>
  <c r="AU516" i="225" s="1"/>
  <c r="W516" i="225"/>
  <c r="AA516" i="225"/>
  <c r="X516" i="225"/>
  <c r="AK516" i="225"/>
  <c r="AV516" i="225" s="1"/>
  <c r="AG516" i="225"/>
  <c r="AR516" i="225" s="1"/>
  <c r="AE516" i="225"/>
  <c r="AP516" i="225" s="1"/>
  <c r="Q516" i="225"/>
  <c r="T516" i="225"/>
  <c r="AL516" i="225"/>
  <c r="AW516" i="225" s="1"/>
  <c r="AM516" i="225"/>
  <c r="AD516" i="225"/>
  <c r="AO516" i="225" s="1"/>
  <c r="O516" i="225"/>
  <c r="AH516" i="225"/>
  <c r="AS516" i="225" s="1"/>
  <c r="P516" i="225"/>
  <c r="Z516" i="225"/>
  <c r="S516" i="225"/>
  <c r="AN516" i="225" s="1"/>
  <c r="R513" i="225"/>
  <c r="AF452" i="225"/>
  <c r="R503" i="225"/>
  <c r="X452" i="225" l="1"/>
  <c r="P517" i="225"/>
  <c r="AF517" i="225"/>
  <c r="AQ517" i="225" s="1"/>
  <c r="AA517" i="225"/>
  <c r="AD517" i="225"/>
  <c r="AO517" i="225" s="1"/>
  <c r="AE517" i="225"/>
  <c r="AP517" i="225" s="1"/>
  <c r="AL517" i="225"/>
  <c r="AW517" i="225" s="1"/>
  <c r="AC517" i="225"/>
  <c r="Z517" i="225"/>
  <c r="W517" i="225"/>
  <c r="V517" i="225"/>
  <c r="AB517" i="225"/>
  <c r="Y517" i="225"/>
  <c r="Q517" i="225"/>
  <c r="O517" i="225"/>
  <c r="AM517" i="225"/>
  <c r="T517" i="225"/>
  <c r="AI517" i="225"/>
  <c r="AT517" i="225" s="1"/>
  <c r="AH517" i="225"/>
  <c r="AS517" i="225" s="1"/>
  <c r="X517" i="225"/>
  <c r="AK517" i="225"/>
  <c r="AV517" i="225" s="1"/>
  <c r="AJ517" i="225"/>
  <c r="AU517" i="225" s="1"/>
  <c r="S517" i="225"/>
  <c r="R516" i="225"/>
  <c r="AG517" i="225"/>
  <c r="AR517" i="225" s="1"/>
  <c r="S518" i="225"/>
  <c r="AN518" i="225" s="1"/>
  <c r="AG452" i="225"/>
  <c r="AQ452" i="225"/>
  <c r="AN517" i="225" l="1"/>
  <c r="AR452" i="225"/>
  <c r="Y452" i="225"/>
  <c r="O518" i="225"/>
  <c r="Q518" i="225"/>
  <c r="AI518" i="225"/>
  <c r="AT518" i="225" s="1"/>
  <c r="R517" i="225"/>
  <c r="AL518" i="225"/>
  <c r="AW518" i="225" s="1"/>
  <c r="AM518" i="225"/>
  <c r="U518" i="225"/>
  <c r="AA518" i="225"/>
  <c r="W518" i="225"/>
  <c r="AD518" i="225"/>
  <c r="AO518" i="225" s="1"/>
  <c r="Z518" i="225"/>
  <c r="AF518" i="225"/>
  <c r="AQ518" i="225" s="1"/>
  <c r="AK518" i="225"/>
  <c r="AV518" i="225" s="1"/>
  <c r="P518" i="225"/>
  <c r="V518" i="225"/>
  <c r="Y518" i="225"/>
  <c r="T518" i="225"/>
  <c r="X518" i="225"/>
  <c r="AC518" i="225"/>
  <c r="AE518" i="225"/>
  <c r="AP518" i="225" s="1"/>
  <c r="Y519" i="225"/>
  <c r="AB518" i="225"/>
  <c r="AG518" i="225"/>
  <c r="AR518" i="225" s="1"/>
  <c r="AJ518" i="225"/>
  <c r="AU518" i="225" s="1"/>
  <c r="AH518" i="225"/>
  <c r="AS518" i="225" s="1"/>
  <c r="AH452" i="225"/>
  <c r="A400" i="225"/>
  <c r="A388" i="225"/>
  <c r="A389" i="225" s="1"/>
  <c r="A390" i="225" s="1"/>
  <c r="A391" i="225" s="1"/>
  <c r="A392" i="225" s="1"/>
  <c r="AH388" i="225"/>
  <c r="AG388" i="225"/>
  <c r="AF388" i="225"/>
  <c r="AE388" i="225"/>
  <c r="AD388" i="225"/>
  <c r="AC388" i="225"/>
  <c r="AB388" i="225"/>
  <c r="AA388" i="225"/>
  <c r="Z388" i="225"/>
  <c r="Y388" i="225"/>
  <c r="X388" i="225"/>
  <c r="W388" i="225"/>
  <c r="V388" i="225"/>
  <c r="U388" i="225"/>
  <c r="T388" i="225"/>
  <c r="S388" i="225"/>
  <c r="R388" i="225"/>
  <c r="Q388" i="225"/>
  <c r="P388" i="225"/>
  <c r="O388" i="225"/>
  <c r="Z452" i="225" l="1"/>
  <c r="AS452" i="225"/>
  <c r="R518" i="225"/>
  <c r="AE519" i="225"/>
  <c r="AP519" i="225" s="1"/>
  <c r="AA519" i="225"/>
  <c r="AD519" i="225"/>
  <c r="AO519" i="225" s="1"/>
  <c r="V520" i="225"/>
  <c r="V519" i="225"/>
  <c r="AG519" i="225"/>
  <c r="AR519" i="225" s="1"/>
  <c r="P519" i="225"/>
  <c r="AC519" i="225"/>
  <c r="Z519" i="225"/>
  <c r="AB519" i="225"/>
  <c r="X519" i="225"/>
  <c r="AM519" i="225"/>
  <c r="S519" i="225"/>
  <c r="AN519" i="225" s="1"/>
  <c r="AK519" i="225"/>
  <c r="AV519" i="225" s="1"/>
  <c r="AH519" i="225"/>
  <c r="AS519" i="225" s="1"/>
  <c r="AL519" i="225"/>
  <c r="AW519" i="225" s="1"/>
  <c r="Q519" i="225"/>
  <c r="AI519" i="225"/>
  <c r="AT519" i="225" s="1"/>
  <c r="W519" i="225"/>
  <c r="U519" i="225"/>
  <c r="O519" i="225"/>
  <c r="AJ519" i="225"/>
  <c r="AU519" i="225" s="1"/>
  <c r="T519" i="225"/>
  <c r="AF519" i="225"/>
  <c r="AQ519" i="225" s="1"/>
  <c r="AI452" i="225"/>
  <c r="V400" i="225"/>
  <c r="V398" i="225" s="1"/>
  <c r="O398" i="225"/>
  <c r="A393" i="225"/>
  <c r="A394" i="225" s="1"/>
  <c r="T392" i="225"/>
  <c r="Q392" i="225"/>
  <c r="V392" i="225"/>
  <c r="AH392" i="225"/>
  <c r="AB392" i="225"/>
  <c r="R392" i="225"/>
  <c r="AC392" i="225"/>
  <c r="U392" i="225"/>
  <c r="AG392" i="225"/>
  <c r="S392" i="225"/>
  <c r="AF392" i="225"/>
  <c r="Y392" i="225"/>
  <c r="P392" i="225"/>
  <c r="AA392" i="225"/>
  <c r="W392" i="225"/>
  <c r="Z392" i="225"/>
  <c r="O392" i="225"/>
  <c r="O393" i="225" s="1"/>
  <c r="X392" i="225"/>
  <c r="AE392" i="225"/>
  <c r="AD392" i="225"/>
  <c r="AT452" i="225" l="1"/>
  <c r="AA452" i="225"/>
  <c r="AK520" i="225"/>
  <c r="AV520" i="225" s="1"/>
  <c r="AL520" i="225"/>
  <c r="AW520" i="225" s="1"/>
  <c r="AI520" i="225"/>
  <c r="AT520" i="225" s="1"/>
  <c r="P520" i="225"/>
  <c r="Q520" i="225"/>
  <c r="U520" i="225"/>
  <c r="T520" i="225"/>
  <c r="Y520" i="225"/>
  <c r="Z520" i="225"/>
  <c r="X520" i="225"/>
  <c r="AE520" i="225"/>
  <c r="AP520" i="225" s="1"/>
  <c r="AB520" i="225"/>
  <c r="AD520" i="225"/>
  <c r="AO520" i="225" s="1"/>
  <c r="AF520" i="225"/>
  <c r="AQ520" i="225" s="1"/>
  <c r="AH521" i="225"/>
  <c r="AS521" i="225" s="1"/>
  <c r="S520" i="225"/>
  <c r="AN520" i="225" s="1"/>
  <c r="O520" i="225"/>
  <c r="AC520" i="225"/>
  <c r="AH520" i="225"/>
  <c r="AS520" i="225" s="1"/>
  <c r="AJ520" i="225"/>
  <c r="AU520" i="225" s="1"/>
  <c r="AM520" i="225"/>
  <c r="AA520" i="225"/>
  <c r="W520" i="225"/>
  <c r="AG520" i="225"/>
  <c r="AR520" i="225" s="1"/>
  <c r="R519" i="225"/>
  <c r="AJ452" i="225"/>
  <c r="P393" i="225"/>
  <c r="O394" i="225"/>
  <c r="U521" i="225"/>
  <c r="P521" i="225"/>
  <c r="Y521" i="225"/>
  <c r="Q521" i="225"/>
  <c r="AF521" i="225" l="1"/>
  <c r="AQ521" i="225" s="1"/>
  <c r="AL521" i="225"/>
  <c r="AW521" i="225" s="1"/>
  <c r="X521" i="225"/>
  <c r="O521" i="225"/>
  <c r="AC521" i="225"/>
  <c r="AB452" i="225"/>
  <c r="Z521" i="225"/>
  <c r="V521" i="225"/>
  <c r="AG521" i="225"/>
  <c r="AR521" i="225" s="1"/>
  <c r="AD521" i="225"/>
  <c r="AO521" i="225" s="1"/>
  <c r="AB521" i="225"/>
  <c r="T521" i="225"/>
  <c r="AU452" i="225"/>
  <c r="AE521" i="225"/>
  <c r="AP521" i="225" s="1"/>
  <c r="S521" i="225"/>
  <c r="AN521" i="225" s="1"/>
  <c r="AA521" i="225"/>
  <c r="AJ521" i="225"/>
  <c r="AU521" i="225" s="1"/>
  <c r="AI521" i="225"/>
  <c r="AT521" i="225" s="1"/>
  <c r="AK521" i="225"/>
  <c r="AV521" i="225" s="1"/>
  <c r="W521" i="225"/>
  <c r="AM521" i="225"/>
  <c r="R520" i="225"/>
  <c r="AK452" i="225"/>
  <c r="P394" i="225"/>
  <c r="Q393" i="225"/>
  <c r="T522" i="225"/>
  <c r="AB522" i="225"/>
  <c r="AJ522" i="225"/>
  <c r="AU522" i="225" s="1"/>
  <c r="Q522" i="225"/>
  <c r="O522" i="225"/>
  <c r="U522" i="225"/>
  <c r="AC522" i="225"/>
  <c r="AK522" i="225"/>
  <c r="AV522" i="225" s="1"/>
  <c r="AA522" i="225"/>
  <c r="V522" i="225"/>
  <c r="AD522" i="225"/>
  <c r="AO522" i="225" s="1"/>
  <c r="AL522" i="225"/>
  <c r="AW522" i="225" s="1"/>
  <c r="Z522" i="225"/>
  <c r="W522" i="225"/>
  <c r="AE522" i="225"/>
  <c r="AP522" i="225" s="1"/>
  <c r="AM522" i="225"/>
  <c r="Y522" i="225"/>
  <c r="AG522" i="225"/>
  <c r="AR522" i="225" s="1"/>
  <c r="P522" i="225"/>
  <c r="AH522" i="225"/>
  <c r="AS522" i="225" s="1"/>
  <c r="X522" i="225"/>
  <c r="AF522" i="225"/>
  <c r="AQ522" i="225" s="1"/>
  <c r="S522" i="225"/>
  <c r="AN522" i="225" s="1"/>
  <c r="AI522" i="225"/>
  <c r="AT522" i="225" s="1"/>
  <c r="R521" i="225"/>
  <c r="A361" i="225"/>
  <c r="A362" i="225" s="1"/>
  <c r="A363" i="225" s="1"/>
  <c r="A364" i="225" s="1"/>
  <c r="A365" i="225" s="1"/>
  <c r="A366" i="225" s="1"/>
  <c r="A367" i="225" s="1"/>
  <c r="A368" i="225" s="1"/>
  <c r="A369" i="225" s="1"/>
  <c r="A370" i="225" s="1"/>
  <c r="A371" i="225" s="1"/>
  <c r="A372" i="225" s="1"/>
  <c r="A373" i="225" s="1"/>
  <c r="A374" i="225" s="1"/>
  <c r="A375" i="225" s="1"/>
  <c r="A376" i="225" s="1"/>
  <c r="A377" i="225" s="1"/>
  <c r="A378" i="225" s="1"/>
  <c r="A379" i="225" s="1"/>
  <c r="A380" i="225" s="1"/>
  <c r="A381" i="225" s="1"/>
  <c r="A382" i="225" s="1"/>
  <c r="A383" i="225" s="1"/>
  <c r="AN380" i="225"/>
  <c r="AM380" i="225"/>
  <c r="AL380" i="225"/>
  <c r="AK380" i="225"/>
  <c r="AJ380" i="225"/>
  <c r="AI380" i="225"/>
  <c r="AH380" i="225"/>
  <c r="AG380" i="225"/>
  <c r="AF380" i="225"/>
  <c r="AE380" i="225"/>
  <c r="AD380" i="225"/>
  <c r="AC380" i="225"/>
  <c r="AB380" i="225"/>
  <c r="AA380" i="225"/>
  <c r="Z380" i="225"/>
  <c r="Y380" i="225"/>
  <c r="X380" i="225"/>
  <c r="W380" i="225"/>
  <c r="V380" i="225"/>
  <c r="U380" i="225"/>
  <c r="T380" i="225"/>
  <c r="S380" i="225"/>
  <c r="R380" i="225"/>
  <c r="Q380" i="225"/>
  <c r="P380" i="225"/>
  <c r="O380" i="225"/>
  <c r="AN375" i="225"/>
  <c r="AM375" i="225"/>
  <c r="AL375" i="225"/>
  <c r="AK375" i="225"/>
  <c r="AJ375" i="225"/>
  <c r="AI375" i="225"/>
  <c r="AH375" i="225"/>
  <c r="AG375" i="225"/>
  <c r="AF375" i="225"/>
  <c r="AE375" i="225"/>
  <c r="AD375" i="225"/>
  <c r="AC375" i="225"/>
  <c r="AB375" i="225"/>
  <c r="AA375" i="225"/>
  <c r="Z375" i="225"/>
  <c r="Y375" i="225"/>
  <c r="X375" i="225"/>
  <c r="W375" i="225"/>
  <c r="V375" i="225"/>
  <c r="U375" i="225"/>
  <c r="T375" i="225"/>
  <c r="S375" i="225"/>
  <c r="R375" i="225"/>
  <c r="Q375" i="225"/>
  <c r="P375" i="225"/>
  <c r="O375" i="225"/>
  <c r="AN371" i="225"/>
  <c r="AM371" i="225"/>
  <c r="AL371" i="225"/>
  <c r="AK371" i="225"/>
  <c r="AJ371" i="225"/>
  <c r="AI371" i="225"/>
  <c r="AH371" i="225"/>
  <c r="AG371" i="225"/>
  <c r="AF371" i="225"/>
  <c r="AE371" i="225"/>
  <c r="AD371" i="225"/>
  <c r="AC371" i="225"/>
  <c r="AB371" i="225"/>
  <c r="AA371" i="225"/>
  <c r="Z371" i="225"/>
  <c r="Y371" i="225"/>
  <c r="X371" i="225"/>
  <c r="W371" i="225"/>
  <c r="V371" i="225"/>
  <c r="U371" i="225"/>
  <c r="T371" i="225"/>
  <c r="S371" i="225"/>
  <c r="R371" i="225"/>
  <c r="Q371" i="225"/>
  <c r="P371" i="225"/>
  <c r="O371" i="225"/>
  <c r="AN367" i="225"/>
  <c r="AM367" i="225"/>
  <c r="AL367" i="225"/>
  <c r="AK367" i="225"/>
  <c r="AJ367" i="225"/>
  <c r="AI367" i="225"/>
  <c r="AH367" i="225"/>
  <c r="AG367" i="225"/>
  <c r="AF367" i="225"/>
  <c r="AE367" i="225"/>
  <c r="AD367" i="225"/>
  <c r="AC367" i="225"/>
  <c r="AB367" i="225"/>
  <c r="AA367" i="225"/>
  <c r="Z367" i="225"/>
  <c r="Y367" i="225"/>
  <c r="X367" i="225"/>
  <c r="W367" i="225"/>
  <c r="V367" i="225"/>
  <c r="U367" i="225"/>
  <c r="T367" i="225"/>
  <c r="S367" i="225"/>
  <c r="R367" i="225"/>
  <c r="Q367" i="225"/>
  <c r="P367" i="225"/>
  <c r="O367" i="225"/>
  <c r="A356" i="225"/>
  <c r="A343" i="225"/>
  <c r="A344" i="225" s="1"/>
  <c r="A345" i="225" s="1"/>
  <c r="A346" i="225" s="1"/>
  <c r="A347" i="225" s="1"/>
  <c r="A348" i="225" s="1"/>
  <c r="A349" i="225" s="1"/>
  <c r="A350" i="225" s="1"/>
  <c r="AL352" i="225"/>
  <c r="AL343" i="225" s="1"/>
  <c r="AK352" i="225"/>
  <c r="AK343" i="225" s="1"/>
  <c r="AJ352" i="225"/>
  <c r="AJ343" i="225" s="1"/>
  <c r="AI352" i="225"/>
  <c r="AI343" i="225" s="1"/>
  <c r="AH352" i="225"/>
  <c r="AH343" i="225" s="1"/>
  <c r="AG352" i="225"/>
  <c r="AG343" i="225" s="1"/>
  <c r="AF352" i="225"/>
  <c r="AF343" i="225" s="1"/>
  <c r="AE352" i="225"/>
  <c r="AE343" i="225" s="1"/>
  <c r="AD352" i="225"/>
  <c r="AD343" i="225" s="1"/>
  <c r="AC352" i="225"/>
  <c r="AC343" i="225" s="1"/>
  <c r="AB352" i="225"/>
  <c r="AB343" i="225" s="1"/>
  <c r="AA352" i="225"/>
  <c r="AA343" i="225" s="1"/>
  <c r="Z352" i="225"/>
  <c r="Z343" i="225" s="1"/>
  <c r="Y352" i="225"/>
  <c r="Y343" i="225" s="1"/>
  <c r="X352" i="225"/>
  <c r="X343" i="225" s="1"/>
  <c r="W352" i="225"/>
  <c r="W343" i="225" s="1"/>
  <c r="V352" i="225"/>
  <c r="V343" i="225" s="1"/>
  <c r="U352" i="225"/>
  <c r="U343" i="225" s="1"/>
  <c r="T352" i="225"/>
  <c r="T343" i="225" s="1"/>
  <c r="S352" i="225"/>
  <c r="S343" i="225" s="1"/>
  <c r="R352" i="225"/>
  <c r="R343" i="225" s="1"/>
  <c r="Q352" i="225"/>
  <c r="Q343" i="225" s="1"/>
  <c r="P352" i="225"/>
  <c r="P343" i="225" s="1"/>
  <c r="O352" i="225"/>
  <c r="O343" i="225" s="1"/>
  <c r="AC452" i="225" l="1"/>
  <c r="AV452" i="225"/>
  <c r="AL452" i="225"/>
  <c r="AL524" i="225"/>
  <c r="AW524" i="225" s="1"/>
  <c r="AK523" i="225"/>
  <c r="AV523" i="225" s="1"/>
  <c r="AC523" i="225"/>
  <c r="U523" i="225"/>
  <c r="AD523" i="225"/>
  <c r="AO523" i="225" s="1"/>
  <c r="AJ523" i="225"/>
  <c r="AU523" i="225" s="1"/>
  <c r="AB523" i="225"/>
  <c r="T523" i="225"/>
  <c r="AI523" i="225"/>
  <c r="AT523" i="225" s="1"/>
  <c r="AA523" i="225"/>
  <c r="S523" i="225"/>
  <c r="AN523" i="225" s="1"/>
  <c r="AH523" i="225"/>
  <c r="AS523" i="225" s="1"/>
  <c r="Z523" i="225"/>
  <c r="Q523" i="225"/>
  <c r="V523" i="225"/>
  <c r="AG523" i="225"/>
  <c r="AR523" i="225" s="1"/>
  <c r="Y523" i="225"/>
  <c r="P523" i="225"/>
  <c r="AL523" i="225"/>
  <c r="AW523" i="225" s="1"/>
  <c r="AF523" i="225"/>
  <c r="AQ523" i="225" s="1"/>
  <c r="X523" i="225"/>
  <c r="O523" i="225"/>
  <c r="AM523" i="225"/>
  <c r="AE523" i="225"/>
  <c r="AP523" i="225" s="1"/>
  <c r="W523" i="225"/>
  <c r="A352" i="225"/>
  <c r="A353" i="225" s="1"/>
  <c r="A354" i="225" s="1"/>
  <c r="B354" i="225" s="1"/>
  <c r="A351" i="225"/>
  <c r="Q394" i="225"/>
  <c r="R393" i="225"/>
  <c r="P524" i="225"/>
  <c r="T524" i="225"/>
  <c r="X524" i="225"/>
  <c r="R522" i="225"/>
  <c r="AE361" i="225"/>
  <c r="O361" i="225"/>
  <c r="W361" i="225"/>
  <c r="AM361" i="225"/>
  <c r="R361" i="225"/>
  <c r="Z361" i="225"/>
  <c r="AH361" i="225"/>
  <c r="P361" i="225"/>
  <c r="X361" i="225"/>
  <c r="AF361" i="225"/>
  <c r="AN361" i="225"/>
  <c r="T361" i="225"/>
  <c r="AA361" i="225"/>
  <c r="U361" i="225"/>
  <c r="AC361" i="225"/>
  <c r="AK361" i="225"/>
  <c r="AI361" i="225"/>
  <c r="AJ361" i="225"/>
  <c r="S361" i="225"/>
  <c r="AB361" i="225"/>
  <c r="AL361" i="225"/>
  <c r="V361" i="225"/>
  <c r="AD361" i="225"/>
  <c r="Q361" i="225"/>
  <c r="Y361" i="225"/>
  <c r="AG361" i="225"/>
  <c r="A332" i="225"/>
  <c r="A333" i="225" s="1"/>
  <c r="A334" i="225" s="1"/>
  <c r="A328" i="225"/>
  <c r="A329" i="225" s="1"/>
  <c r="A330" i="225" s="1"/>
  <c r="A324" i="225"/>
  <c r="A325" i="225" s="1"/>
  <c r="A326" i="225" s="1"/>
  <c r="A320" i="225"/>
  <c r="A321" i="225" s="1"/>
  <c r="A322" i="225" s="1"/>
  <c r="A301" i="225"/>
  <c r="A302" i="225" s="1"/>
  <c r="A303" i="225" s="1"/>
  <c r="L332" i="225"/>
  <c r="L334" i="225" s="1"/>
  <c r="L328" i="225"/>
  <c r="L330" i="225" s="1"/>
  <c r="L324" i="225"/>
  <c r="L325" i="225" s="1"/>
  <c r="L320" i="225"/>
  <c r="L322" i="225" s="1"/>
  <c r="A304" i="225" l="1"/>
  <c r="A305" i="225" s="1"/>
  <c r="A306" i="225" s="1"/>
  <c r="B303" i="225"/>
  <c r="O524" i="225"/>
  <c r="O515" i="225" s="1"/>
  <c r="AE524" i="225"/>
  <c r="AP524" i="225" s="1"/>
  <c r="W524" i="225"/>
  <c r="W515" i="225" s="1"/>
  <c r="AC524" i="225"/>
  <c r="AC515" i="225" s="1"/>
  <c r="AI524" i="225"/>
  <c r="AT524" i="225" s="1"/>
  <c r="Z524" i="225"/>
  <c r="Z515" i="225" s="1"/>
  <c r="W526" i="225"/>
  <c r="U524" i="225"/>
  <c r="U515" i="225" s="1"/>
  <c r="AJ524" i="225"/>
  <c r="AJ515" i="225" s="1"/>
  <c r="AU515" i="225" s="1"/>
  <c r="AW452" i="225"/>
  <c r="Y524" i="225"/>
  <c r="Y515" i="225" s="1"/>
  <c r="V524" i="225"/>
  <c r="V515" i="225" s="1"/>
  <c r="S524" i="225"/>
  <c r="AN524" i="225" s="1"/>
  <c r="AF524" i="225"/>
  <c r="AQ524" i="225" s="1"/>
  <c r="AD524" i="225"/>
  <c r="AO524" i="225" s="1"/>
  <c r="AM524" i="225"/>
  <c r="AM515" i="225" s="1"/>
  <c r="AH524" i="225"/>
  <c r="AS524" i="225" s="1"/>
  <c r="Q524" i="225"/>
  <c r="Q515" i="225" s="1"/>
  <c r="AK524" i="225"/>
  <c r="AV524" i="225" s="1"/>
  <c r="AG524" i="225"/>
  <c r="AR524" i="225" s="1"/>
  <c r="AB524" i="225"/>
  <c r="AB515" i="225" s="1"/>
  <c r="AA524" i="225"/>
  <c r="AA515" i="225" s="1"/>
  <c r="AM452" i="225"/>
  <c r="AL515" i="225"/>
  <c r="AW515" i="225" s="1"/>
  <c r="P515" i="225"/>
  <c r="X515" i="225"/>
  <c r="T515" i="225"/>
  <c r="R523" i="225"/>
  <c r="R394" i="225"/>
  <c r="S393" i="225"/>
  <c r="AI526" i="225"/>
  <c r="AT526" i="225" s="1"/>
  <c r="AD526" i="225"/>
  <c r="AO526" i="225" s="1"/>
  <c r="Z526" i="225"/>
  <c r="X526" i="225"/>
  <c r="V526" i="225"/>
  <c r="Q526" i="225"/>
  <c r="AG526" i="225"/>
  <c r="AR526" i="225" s="1"/>
  <c r="AH526" i="225"/>
  <c r="AS526" i="225" s="1"/>
  <c r="P526" i="225"/>
  <c r="Y526" i="225"/>
  <c r="AB526" i="225"/>
  <c r="S526" i="225"/>
  <c r="AN526" i="225" s="1"/>
  <c r="U526" i="225"/>
  <c r="AA526" i="225"/>
  <c r="AL526" i="225"/>
  <c r="AW526" i="225" s="1"/>
  <c r="AF526" i="225"/>
  <c r="AQ526" i="225" s="1"/>
  <c r="AM526" i="225"/>
  <c r="O526" i="225"/>
  <c r="AE526" i="225"/>
  <c r="AP526" i="225" s="1"/>
  <c r="AJ526" i="225"/>
  <c r="AU526" i="225" s="1"/>
  <c r="AC526" i="225"/>
  <c r="AK526" i="225"/>
  <c r="AV526" i="225" s="1"/>
  <c r="T526" i="225"/>
  <c r="U529" i="225"/>
  <c r="AF515" i="225"/>
  <c r="AQ515" i="225" s="1"/>
  <c r="AE515" i="225"/>
  <c r="AP515" i="225" s="1"/>
  <c r="L333" i="225"/>
  <c r="L329" i="225"/>
  <c r="L326" i="225"/>
  <c r="L321" i="225"/>
  <c r="A290" i="225"/>
  <c r="A291" i="225" s="1"/>
  <c r="A292" i="225" s="1"/>
  <c r="A293" i="225" s="1"/>
  <c r="A294" i="225" s="1"/>
  <c r="A295" i="225" s="1"/>
  <c r="A296" i="225" s="1"/>
  <c r="AL291" i="225"/>
  <c r="AL290" i="225" s="1"/>
  <c r="AK291" i="225"/>
  <c r="AK290" i="225" s="1"/>
  <c r="AJ291" i="225"/>
  <c r="AJ290" i="225" s="1"/>
  <c r="AI291" i="225"/>
  <c r="AI290" i="225" s="1"/>
  <c r="AH291" i="225"/>
  <c r="AH290" i="225" s="1"/>
  <c r="AG291" i="225"/>
  <c r="AG290" i="225" s="1"/>
  <c r="AF291" i="225"/>
  <c r="AF290" i="225" s="1"/>
  <c r="AE291" i="225"/>
  <c r="AE290" i="225" s="1"/>
  <c r="AD291" i="225"/>
  <c r="AD290" i="225" s="1"/>
  <c r="AC291" i="225"/>
  <c r="AC290" i="225" s="1"/>
  <c r="AB291" i="225"/>
  <c r="AB290" i="225" s="1"/>
  <c r="AA291" i="225"/>
  <c r="AA290" i="225" s="1"/>
  <c r="Z291" i="225"/>
  <c r="Z290" i="225" s="1"/>
  <c r="Y291" i="225"/>
  <c r="Y290" i="225" s="1"/>
  <c r="X291" i="225"/>
  <c r="X290" i="225" s="1"/>
  <c r="W291" i="225"/>
  <c r="W290" i="225" s="1"/>
  <c r="V291" i="225"/>
  <c r="V290" i="225" s="1"/>
  <c r="U291" i="225"/>
  <c r="U290" i="225" s="1"/>
  <c r="T291" i="225"/>
  <c r="T290" i="225" s="1"/>
  <c r="S291" i="225"/>
  <c r="S290" i="225" s="1"/>
  <c r="R291" i="225"/>
  <c r="R290" i="225" s="1"/>
  <c r="Q291" i="225"/>
  <c r="Q290" i="225" s="1"/>
  <c r="P291" i="225"/>
  <c r="P290" i="225" s="1"/>
  <c r="O291" i="225"/>
  <c r="O290" i="225" s="1"/>
  <c r="A238" i="225"/>
  <c r="A239" i="225" s="1"/>
  <c r="A240" i="225" s="1"/>
  <c r="A241" i="225" s="1"/>
  <c r="A242" i="225" s="1"/>
  <c r="A243" i="225" s="1"/>
  <c r="A244" i="225" s="1"/>
  <c r="A245" i="225" s="1"/>
  <c r="A246" i="225" s="1"/>
  <c r="A247" i="225" s="1"/>
  <c r="A248" i="225" s="1"/>
  <c r="A249" i="225" s="1"/>
  <c r="A250" i="225" s="1"/>
  <c r="A251" i="225" s="1"/>
  <c r="A252" i="225" s="1"/>
  <c r="A253" i="225" s="1"/>
  <c r="A254" i="225" s="1"/>
  <c r="A255" i="225" s="1"/>
  <c r="A256" i="225" s="1"/>
  <c r="A257" i="225" s="1"/>
  <c r="A258" i="225" s="1"/>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AL280" i="225"/>
  <c r="AK280" i="225"/>
  <c r="AJ280" i="225"/>
  <c r="AI280" i="225"/>
  <c r="AH280" i="225"/>
  <c r="AG280" i="225"/>
  <c r="AF280" i="225"/>
  <c r="AE280" i="225"/>
  <c r="AD280" i="225"/>
  <c r="AC280" i="225"/>
  <c r="AB280" i="225"/>
  <c r="AA280" i="225"/>
  <c r="Z280" i="225"/>
  <c r="Y280" i="225"/>
  <c r="X280" i="225"/>
  <c r="W280" i="225"/>
  <c r="V280" i="225"/>
  <c r="U280" i="225"/>
  <c r="T280" i="225"/>
  <c r="S280" i="225"/>
  <c r="R280" i="225"/>
  <c r="Q280" i="225"/>
  <c r="P280" i="225"/>
  <c r="O280" i="225"/>
  <c r="AL274" i="225"/>
  <c r="AK274" i="225"/>
  <c r="AJ274" i="225"/>
  <c r="AI274" i="225"/>
  <c r="AH274" i="225"/>
  <c r="AG274" i="225"/>
  <c r="AF274" i="225"/>
  <c r="AE274" i="225"/>
  <c r="AD274" i="225"/>
  <c r="AC274" i="225"/>
  <c r="AB274" i="225"/>
  <c r="AA274" i="225"/>
  <c r="Z274" i="225"/>
  <c r="Y274" i="225"/>
  <c r="X274" i="225"/>
  <c r="W274" i="225"/>
  <c r="V274" i="225"/>
  <c r="U274" i="225"/>
  <c r="T274" i="225"/>
  <c r="S274" i="225"/>
  <c r="R274" i="225"/>
  <c r="Q274" i="225"/>
  <c r="P274" i="225"/>
  <c r="O274" i="225"/>
  <c r="AL261" i="225"/>
  <c r="AL267" i="225" s="1"/>
  <c r="AL273" i="225" s="1"/>
  <c r="AK261" i="225"/>
  <c r="AK267" i="225" s="1"/>
  <c r="AK273" i="225" s="1"/>
  <c r="AJ261" i="225"/>
  <c r="AJ267" i="225" s="1"/>
  <c r="AJ273" i="225" s="1"/>
  <c r="AI261" i="225"/>
  <c r="AI267" i="225" s="1"/>
  <c r="AI273" i="225" s="1"/>
  <c r="AH261" i="225"/>
  <c r="AH267" i="225" s="1"/>
  <c r="AH273" i="225" s="1"/>
  <c r="AG261" i="225"/>
  <c r="AG267" i="225" s="1"/>
  <c r="AG273" i="225" s="1"/>
  <c r="AF261" i="225"/>
  <c r="AF267" i="225" s="1"/>
  <c r="AF273" i="225" s="1"/>
  <c r="AE261" i="225"/>
  <c r="AE267" i="225" s="1"/>
  <c r="AE273" i="225" s="1"/>
  <c r="AD261" i="225"/>
  <c r="AD267" i="225" s="1"/>
  <c r="AD273" i="225" s="1"/>
  <c r="AC261" i="225"/>
  <c r="AC267" i="225" s="1"/>
  <c r="AC273" i="225" s="1"/>
  <c r="AB261" i="225"/>
  <c r="AB267" i="225" s="1"/>
  <c r="AB273" i="225" s="1"/>
  <c r="AA261" i="225"/>
  <c r="AA267" i="225" s="1"/>
  <c r="AA273" i="225" s="1"/>
  <c r="Z261" i="225"/>
  <c r="Z267" i="225" s="1"/>
  <c r="Z273" i="225" s="1"/>
  <c r="Y261" i="225"/>
  <c r="Y267" i="225" s="1"/>
  <c r="Y273" i="225" s="1"/>
  <c r="X261" i="225"/>
  <c r="X267" i="225" s="1"/>
  <c r="X273" i="225" s="1"/>
  <c r="W261" i="225"/>
  <c r="W267" i="225" s="1"/>
  <c r="W273" i="225" s="1"/>
  <c r="V261" i="225"/>
  <c r="V267" i="225" s="1"/>
  <c r="V273" i="225" s="1"/>
  <c r="U261" i="225"/>
  <c r="U267" i="225" s="1"/>
  <c r="U273" i="225" s="1"/>
  <c r="T261" i="225"/>
  <c r="T267" i="225" s="1"/>
  <c r="T273" i="225" s="1"/>
  <c r="S261" i="225"/>
  <c r="S267" i="225" s="1"/>
  <c r="S273" i="225" s="1"/>
  <c r="R261" i="225"/>
  <c r="R267" i="225" s="1"/>
  <c r="R273" i="225" s="1"/>
  <c r="Q261" i="225"/>
  <c r="Q267" i="225" s="1"/>
  <c r="Q273" i="225" s="1"/>
  <c r="P261" i="225"/>
  <c r="P267" i="225" s="1"/>
  <c r="P273" i="225" s="1"/>
  <c r="O261" i="225"/>
  <c r="O267" i="225" s="1"/>
  <c r="O273" i="225" s="1"/>
  <c r="AL260" i="225"/>
  <c r="AL266" i="225" s="1"/>
  <c r="AL272" i="225" s="1"/>
  <c r="AK260" i="225"/>
  <c r="AK266" i="225" s="1"/>
  <c r="AK272" i="225" s="1"/>
  <c r="AJ260" i="225"/>
  <c r="AJ266" i="225" s="1"/>
  <c r="AJ272" i="225" s="1"/>
  <c r="AI260" i="225"/>
  <c r="AI266" i="225" s="1"/>
  <c r="AI272" i="225" s="1"/>
  <c r="AH260" i="225"/>
  <c r="AH266" i="225" s="1"/>
  <c r="AH272" i="225" s="1"/>
  <c r="AG260" i="225"/>
  <c r="AG266" i="225" s="1"/>
  <c r="AG272" i="225" s="1"/>
  <c r="AF260" i="225"/>
  <c r="AF266" i="225" s="1"/>
  <c r="AF272" i="225" s="1"/>
  <c r="AE260" i="225"/>
  <c r="AE266" i="225" s="1"/>
  <c r="AE272" i="225" s="1"/>
  <c r="AD260" i="225"/>
  <c r="AD266" i="225" s="1"/>
  <c r="AD272" i="225" s="1"/>
  <c r="AC260" i="225"/>
  <c r="AC266" i="225" s="1"/>
  <c r="AC272" i="225" s="1"/>
  <c r="AB260" i="225"/>
  <c r="AB266" i="225" s="1"/>
  <c r="AB272" i="225" s="1"/>
  <c r="AA260" i="225"/>
  <c r="AA266" i="225" s="1"/>
  <c r="AA272" i="225" s="1"/>
  <c r="Z260" i="225"/>
  <c r="Z266" i="225" s="1"/>
  <c r="Z272" i="225" s="1"/>
  <c r="Y260" i="225"/>
  <c r="Y266" i="225" s="1"/>
  <c r="Y272" i="225" s="1"/>
  <c r="X260" i="225"/>
  <c r="X266" i="225" s="1"/>
  <c r="X272" i="225" s="1"/>
  <c r="W260" i="225"/>
  <c r="W266" i="225" s="1"/>
  <c r="W272" i="225" s="1"/>
  <c r="V260" i="225"/>
  <c r="V266" i="225" s="1"/>
  <c r="V272" i="225" s="1"/>
  <c r="U260" i="225"/>
  <c r="U266" i="225" s="1"/>
  <c r="U272" i="225" s="1"/>
  <c r="T260" i="225"/>
  <c r="T266" i="225" s="1"/>
  <c r="T272" i="225" s="1"/>
  <c r="S260" i="225"/>
  <c r="S266" i="225" s="1"/>
  <c r="S272" i="225" s="1"/>
  <c r="R260" i="225"/>
  <c r="R266" i="225" s="1"/>
  <c r="R272" i="225" s="1"/>
  <c r="Q260" i="225"/>
  <c r="Q266" i="225" s="1"/>
  <c r="Q272" i="225" s="1"/>
  <c r="P260" i="225"/>
  <c r="P266" i="225" s="1"/>
  <c r="P272" i="225" s="1"/>
  <c r="O260" i="225"/>
  <c r="O266" i="225" s="1"/>
  <c r="O272" i="225" s="1"/>
  <c r="AL259" i="225"/>
  <c r="AL265" i="225" s="1"/>
  <c r="AL271" i="225" s="1"/>
  <c r="AK259" i="225"/>
  <c r="AK265" i="225" s="1"/>
  <c r="AK271" i="225" s="1"/>
  <c r="AJ259" i="225"/>
  <c r="AJ265" i="225" s="1"/>
  <c r="AJ271" i="225" s="1"/>
  <c r="AI259" i="225"/>
  <c r="AI265" i="225" s="1"/>
  <c r="AI271" i="225" s="1"/>
  <c r="AH259" i="225"/>
  <c r="AH265" i="225" s="1"/>
  <c r="AH271" i="225" s="1"/>
  <c r="AG259" i="225"/>
  <c r="AG265" i="225" s="1"/>
  <c r="AG271" i="225" s="1"/>
  <c r="AF259" i="225"/>
  <c r="AF265" i="225" s="1"/>
  <c r="AF271" i="225" s="1"/>
  <c r="AE259" i="225"/>
  <c r="AE265" i="225" s="1"/>
  <c r="AE271" i="225" s="1"/>
  <c r="AD259" i="225"/>
  <c r="AD265" i="225" s="1"/>
  <c r="AD271" i="225" s="1"/>
  <c r="AC259" i="225"/>
  <c r="AC265" i="225" s="1"/>
  <c r="AC271" i="225" s="1"/>
  <c r="AB259" i="225"/>
  <c r="AB265" i="225" s="1"/>
  <c r="AB271" i="225" s="1"/>
  <c r="AA259" i="225"/>
  <c r="AA265" i="225" s="1"/>
  <c r="AA271" i="225" s="1"/>
  <c r="Z259" i="225"/>
  <c r="Z265" i="225" s="1"/>
  <c r="Z271" i="225" s="1"/>
  <c r="Y259" i="225"/>
  <c r="Y265" i="225" s="1"/>
  <c r="Y271" i="225" s="1"/>
  <c r="X259" i="225"/>
  <c r="X265" i="225" s="1"/>
  <c r="X271" i="225" s="1"/>
  <c r="W259" i="225"/>
  <c r="W265" i="225" s="1"/>
  <c r="W271" i="225" s="1"/>
  <c r="V259" i="225"/>
  <c r="V265" i="225" s="1"/>
  <c r="V271" i="225" s="1"/>
  <c r="U259" i="225"/>
  <c r="U265" i="225" s="1"/>
  <c r="U271" i="225" s="1"/>
  <c r="T259" i="225"/>
  <c r="T265" i="225" s="1"/>
  <c r="T271" i="225" s="1"/>
  <c r="S259" i="225"/>
  <c r="S265" i="225" s="1"/>
  <c r="S271" i="225" s="1"/>
  <c r="R259" i="225"/>
  <c r="R265" i="225" s="1"/>
  <c r="R271" i="225" s="1"/>
  <c r="Q259" i="225"/>
  <c r="Q265" i="225" s="1"/>
  <c r="Q271" i="225" s="1"/>
  <c r="P259" i="225"/>
  <c r="P265" i="225" s="1"/>
  <c r="P271" i="225" s="1"/>
  <c r="O259" i="225"/>
  <c r="O265" i="225" s="1"/>
  <c r="O271" i="225" s="1"/>
  <c r="AL258" i="225"/>
  <c r="AL264" i="225" s="1"/>
  <c r="AL270" i="225" s="1"/>
  <c r="AK258" i="225"/>
  <c r="AK264" i="225" s="1"/>
  <c r="AK270" i="225" s="1"/>
  <c r="AJ258" i="225"/>
  <c r="AJ264" i="225" s="1"/>
  <c r="AJ270" i="225" s="1"/>
  <c r="AI258" i="225"/>
  <c r="AI264" i="225" s="1"/>
  <c r="AI270" i="225" s="1"/>
  <c r="AH258" i="225"/>
  <c r="AH264" i="225" s="1"/>
  <c r="AH270" i="225" s="1"/>
  <c r="AG258" i="225"/>
  <c r="AG264" i="225" s="1"/>
  <c r="AG270" i="225" s="1"/>
  <c r="AF258" i="225"/>
  <c r="AF264" i="225" s="1"/>
  <c r="AF270" i="225" s="1"/>
  <c r="AE258" i="225"/>
  <c r="AE264" i="225" s="1"/>
  <c r="AE270" i="225" s="1"/>
  <c r="AD258" i="225"/>
  <c r="AD264" i="225" s="1"/>
  <c r="AD270" i="225" s="1"/>
  <c r="AC258" i="225"/>
  <c r="AC264" i="225" s="1"/>
  <c r="AC270" i="225" s="1"/>
  <c r="AB258" i="225"/>
  <c r="AB264" i="225" s="1"/>
  <c r="AB270" i="225" s="1"/>
  <c r="AA258" i="225"/>
  <c r="AA264" i="225" s="1"/>
  <c r="AA270" i="225" s="1"/>
  <c r="Z258" i="225"/>
  <c r="Z264" i="225" s="1"/>
  <c r="Z270" i="225" s="1"/>
  <c r="Y258" i="225"/>
  <c r="Y264" i="225" s="1"/>
  <c r="Y270" i="225" s="1"/>
  <c r="X258" i="225"/>
  <c r="X264" i="225" s="1"/>
  <c r="X270" i="225" s="1"/>
  <c r="W258" i="225"/>
  <c r="W264" i="225" s="1"/>
  <c r="W270" i="225" s="1"/>
  <c r="V258" i="225"/>
  <c r="V264" i="225" s="1"/>
  <c r="V270" i="225" s="1"/>
  <c r="U258" i="225"/>
  <c r="U264" i="225" s="1"/>
  <c r="U270" i="225" s="1"/>
  <c r="T258" i="225"/>
  <c r="T264" i="225" s="1"/>
  <c r="T270" i="225" s="1"/>
  <c r="S258" i="225"/>
  <c r="S264" i="225" s="1"/>
  <c r="S270" i="225" s="1"/>
  <c r="R258" i="225"/>
  <c r="R264" i="225" s="1"/>
  <c r="R270" i="225" s="1"/>
  <c r="Q258" i="225"/>
  <c r="Q264" i="225" s="1"/>
  <c r="Q270" i="225" s="1"/>
  <c r="P258" i="225"/>
  <c r="P264" i="225" s="1"/>
  <c r="P270" i="225" s="1"/>
  <c r="O258" i="225"/>
  <c r="O264" i="225" s="1"/>
  <c r="O270" i="225" s="1"/>
  <c r="AL257" i="225"/>
  <c r="AL263" i="225" s="1"/>
  <c r="AL269" i="225" s="1"/>
  <c r="AK257" i="225"/>
  <c r="AK263" i="225" s="1"/>
  <c r="AJ257" i="225"/>
  <c r="AJ263" i="225" s="1"/>
  <c r="AJ269" i="225" s="1"/>
  <c r="AI257" i="225"/>
  <c r="AI263" i="225" s="1"/>
  <c r="AH257" i="225"/>
  <c r="AH263" i="225" s="1"/>
  <c r="AG257" i="225"/>
  <c r="AG263" i="225" s="1"/>
  <c r="AG269" i="225" s="1"/>
  <c r="AF257" i="225"/>
  <c r="AF263" i="225" s="1"/>
  <c r="AE257" i="225"/>
  <c r="AE263" i="225" s="1"/>
  <c r="AE269" i="225" s="1"/>
  <c r="AD257" i="225"/>
  <c r="AD263" i="225" s="1"/>
  <c r="AD269" i="225" s="1"/>
  <c r="AC257" i="225"/>
  <c r="AC263" i="225" s="1"/>
  <c r="AB257" i="225"/>
  <c r="AB263" i="225" s="1"/>
  <c r="AA257" i="225"/>
  <c r="AA263" i="225" s="1"/>
  <c r="AA269" i="225" s="1"/>
  <c r="Z257" i="225"/>
  <c r="Z263" i="225" s="1"/>
  <c r="Z269" i="225" s="1"/>
  <c r="Y257" i="225"/>
  <c r="Y263" i="225" s="1"/>
  <c r="Y269" i="225" s="1"/>
  <c r="X257" i="225"/>
  <c r="X263" i="225" s="1"/>
  <c r="W257" i="225"/>
  <c r="W263" i="225" s="1"/>
  <c r="W269" i="225" s="1"/>
  <c r="V257" i="225"/>
  <c r="V263" i="225" s="1"/>
  <c r="V269" i="225" s="1"/>
  <c r="U257" i="225"/>
  <c r="U263" i="225" s="1"/>
  <c r="U269" i="225" s="1"/>
  <c r="T257" i="225"/>
  <c r="T263" i="225" s="1"/>
  <c r="T269" i="225" s="1"/>
  <c r="S257" i="225"/>
  <c r="S263" i="225" s="1"/>
  <c r="S269" i="225" s="1"/>
  <c r="R257" i="225"/>
  <c r="R263" i="225" s="1"/>
  <c r="R269" i="225" s="1"/>
  <c r="Q257" i="225"/>
  <c r="Q263" i="225" s="1"/>
  <c r="Q269" i="225" s="1"/>
  <c r="P257" i="225"/>
  <c r="P263" i="225" s="1"/>
  <c r="P269" i="225" s="1"/>
  <c r="O257" i="225"/>
  <c r="O263" i="225" s="1"/>
  <c r="AL250" i="225"/>
  <c r="AK250" i="225"/>
  <c r="AJ250" i="225"/>
  <c r="AI250" i="225"/>
  <c r="AH250" i="225"/>
  <c r="AG250" i="225"/>
  <c r="AF250" i="225"/>
  <c r="AE250" i="225"/>
  <c r="AD250" i="225"/>
  <c r="AC250" i="225"/>
  <c r="AB250" i="225"/>
  <c r="AA250" i="225"/>
  <c r="Z250" i="225"/>
  <c r="Y250" i="225"/>
  <c r="X250" i="225"/>
  <c r="W250" i="225"/>
  <c r="V250" i="225"/>
  <c r="U250" i="225"/>
  <c r="T250" i="225"/>
  <c r="S250" i="225"/>
  <c r="R250" i="225"/>
  <c r="Q250" i="225"/>
  <c r="P250" i="225"/>
  <c r="O250" i="225"/>
  <c r="AL244" i="225"/>
  <c r="AK244" i="225"/>
  <c r="AJ244" i="225"/>
  <c r="AI244" i="225"/>
  <c r="AH244" i="225"/>
  <c r="AG244" i="225"/>
  <c r="AF244" i="225"/>
  <c r="AE244" i="225"/>
  <c r="AD244" i="225"/>
  <c r="AC244" i="225"/>
  <c r="AB244" i="225"/>
  <c r="AA244" i="225"/>
  <c r="Z244" i="225"/>
  <c r="Y244" i="225"/>
  <c r="X244" i="225"/>
  <c r="W244" i="225"/>
  <c r="V244" i="225"/>
  <c r="U244" i="225"/>
  <c r="T244" i="225"/>
  <c r="S244" i="225"/>
  <c r="R244" i="225"/>
  <c r="Q244" i="225"/>
  <c r="P244" i="225"/>
  <c r="O244" i="225"/>
  <c r="AL238" i="225"/>
  <c r="AK238" i="225"/>
  <c r="AJ238" i="225"/>
  <c r="AI238" i="225"/>
  <c r="AH238" i="225"/>
  <c r="AG238" i="225"/>
  <c r="AF238" i="225"/>
  <c r="AE238" i="225"/>
  <c r="AD238" i="225"/>
  <c r="AC238" i="225"/>
  <c r="AB238" i="225"/>
  <c r="AA238" i="225"/>
  <c r="Z238" i="225"/>
  <c r="Y238" i="225"/>
  <c r="X238" i="225"/>
  <c r="W238" i="225"/>
  <c r="V238" i="225"/>
  <c r="U238" i="225"/>
  <c r="T238" i="225"/>
  <c r="S238" i="225"/>
  <c r="R238" i="225"/>
  <c r="Q238" i="225"/>
  <c r="P238" i="225"/>
  <c r="O238" i="225"/>
  <c r="A210" i="225"/>
  <c r="A211" i="225" s="1"/>
  <c r="A212" i="225" s="1"/>
  <c r="A223" i="225"/>
  <c r="A224" i="225" s="1"/>
  <c r="A225" i="225" s="1"/>
  <c r="AL211" i="225"/>
  <c r="AL213" i="225" s="1"/>
  <c r="AK211" i="225"/>
  <c r="AK213" i="225" s="1"/>
  <c r="AJ211" i="225"/>
  <c r="AJ213" i="225" s="1"/>
  <c r="AI211" i="225"/>
  <c r="AI213" i="225" s="1"/>
  <c r="AH211" i="225"/>
  <c r="AH213" i="225" s="1"/>
  <c r="AG211" i="225"/>
  <c r="AG213" i="225" s="1"/>
  <c r="AF211" i="225"/>
  <c r="AF213" i="225" s="1"/>
  <c r="AE211" i="225"/>
  <c r="AE213" i="225" s="1"/>
  <c r="AD211" i="225"/>
  <c r="AD213" i="225" s="1"/>
  <c r="AC211" i="225"/>
  <c r="AC213" i="225" s="1"/>
  <c r="AB211" i="225"/>
  <c r="AB213" i="225" s="1"/>
  <c r="AA211" i="225"/>
  <c r="AA213" i="225" s="1"/>
  <c r="Z211" i="225"/>
  <c r="Z213" i="225" s="1"/>
  <c r="Y211" i="225"/>
  <c r="Y213" i="225" s="1"/>
  <c r="X211" i="225"/>
  <c r="X213" i="225" s="1"/>
  <c r="W211" i="225"/>
  <c r="W213" i="225" s="1"/>
  <c r="V211" i="225"/>
  <c r="V213" i="225" s="1"/>
  <c r="U211" i="225"/>
  <c r="U213" i="225" s="1"/>
  <c r="T211" i="225"/>
  <c r="T213" i="225" s="1"/>
  <c r="S211" i="225"/>
  <c r="S213" i="225" s="1"/>
  <c r="R211" i="225"/>
  <c r="R213" i="225" s="1"/>
  <c r="Q211" i="225"/>
  <c r="Q213" i="225" s="1"/>
  <c r="P211" i="225"/>
  <c r="P213" i="225" s="1"/>
  <c r="O211" i="225"/>
  <c r="O213" i="225" s="1"/>
  <c r="AL210" i="225"/>
  <c r="AK210" i="225"/>
  <c r="AJ210" i="225"/>
  <c r="AI210" i="225"/>
  <c r="AH210" i="225"/>
  <c r="AG210" i="225"/>
  <c r="AF210" i="225"/>
  <c r="AE210" i="225"/>
  <c r="AD210" i="225"/>
  <c r="AC210" i="225"/>
  <c r="AB210" i="225"/>
  <c r="AA210" i="225"/>
  <c r="Z210" i="225"/>
  <c r="Y210" i="225"/>
  <c r="X210" i="225"/>
  <c r="W210" i="225"/>
  <c r="V210" i="225"/>
  <c r="U210" i="225"/>
  <c r="T210" i="225"/>
  <c r="S210" i="225"/>
  <c r="R210" i="225"/>
  <c r="Q210" i="225"/>
  <c r="P210" i="225"/>
  <c r="O210" i="225"/>
  <c r="L223" i="225"/>
  <c r="S515" i="225" l="1"/>
  <c r="P502" i="225"/>
  <c r="R524" i="225"/>
  <c r="R515" i="225"/>
  <c r="Q502" i="225"/>
  <c r="AG515" i="225"/>
  <c r="AR515" i="225" s="1"/>
  <c r="AH515" i="225"/>
  <c r="AS515" i="225" s="1"/>
  <c r="A307" i="225"/>
  <c r="A308" i="225" s="1"/>
  <c r="A309" i="225" s="1"/>
  <c r="B306" i="225"/>
  <c r="AI515" i="225"/>
  <c r="AT515" i="225" s="1"/>
  <c r="AU524" i="225"/>
  <c r="AD515" i="225"/>
  <c r="AO515" i="225" s="1"/>
  <c r="AK515" i="225"/>
  <c r="AV515" i="225" s="1"/>
  <c r="O502" i="225"/>
  <c r="AK262" i="225"/>
  <c r="AK269" i="225"/>
  <c r="O262" i="225"/>
  <c r="O269" i="225"/>
  <c r="X262" i="225"/>
  <c r="X269" i="225"/>
  <c r="AF262" i="225"/>
  <c r="AF269" i="225"/>
  <c r="AH262" i="225"/>
  <c r="AH269" i="225"/>
  <c r="AC262" i="225"/>
  <c r="AC269" i="225"/>
  <c r="AI262" i="225"/>
  <c r="AI269" i="225"/>
  <c r="AB262" i="225"/>
  <c r="AB269" i="225"/>
  <c r="S262" i="225"/>
  <c r="T393" i="225"/>
  <c r="S394" i="225"/>
  <c r="U262" i="225"/>
  <c r="R526" i="225"/>
  <c r="AE529" i="225"/>
  <c r="AP529" i="225" s="1"/>
  <c r="AH529" i="225"/>
  <c r="AS529" i="225" s="1"/>
  <c r="A213" i="225"/>
  <c r="A214" i="225" s="1"/>
  <c r="A215" i="225" s="1"/>
  <c r="A219" i="225" s="1"/>
  <c r="T214" i="225"/>
  <c r="AK214" i="225"/>
  <c r="AF214" i="225"/>
  <c r="AC214" i="225"/>
  <c r="AE214" i="225"/>
  <c r="P214" i="225"/>
  <c r="U214" i="225"/>
  <c r="V214" i="225"/>
  <c r="W214" i="225"/>
  <c r="AB214" i="225"/>
  <c r="R214" i="225"/>
  <c r="AL214" i="225"/>
  <c r="AG214" i="225"/>
  <c r="AH214" i="225"/>
  <c r="AJ214" i="225"/>
  <c r="S214" i="225"/>
  <c r="AI214" i="225"/>
  <c r="Z214" i="225"/>
  <c r="AD214" i="225"/>
  <c r="X214" i="225"/>
  <c r="AA214" i="225"/>
  <c r="Q214" i="225"/>
  <c r="Y214" i="225"/>
  <c r="O214" i="225"/>
  <c r="U502" i="225"/>
  <c r="AB529" i="225"/>
  <c r="AB502" i="225" s="1"/>
  <c r="Y529" i="225"/>
  <c r="Y502" i="225" s="1"/>
  <c r="Z529" i="225"/>
  <c r="Z502" i="225" s="1"/>
  <c r="X529" i="225"/>
  <c r="X502" i="225" s="1"/>
  <c r="W529" i="225"/>
  <c r="W502" i="225" s="1"/>
  <c r="AD529" i="225"/>
  <c r="AO529" i="225" s="1"/>
  <c r="AI529" i="225"/>
  <c r="AT529" i="225" s="1"/>
  <c r="V529" i="225"/>
  <c r="V502" i="225" s="1"/>
  <c r="AJ529" i="225"/>
  <c r="AU529" i="225" s="1"/>
  <c r="AF529" i="225"/>
  <c r="AQ529" i="225" s="1"/>
  <c r="AG529" i="225"/>
  <c r="AR529" i="225" s="1"/>
  <c r="T529" i="225"/>
  <c r="T502" i="225" s="1"/>
  <c r="AL536" i="225"/>
  <c r="AW536" i="225" s="1"/>
  <c r="AM529" i="225"/>
  <c r="AM502" i="225" s="1"/>
  <c r="AC529" i="225"/>
  <c r="AC502" i="225" s="1"/>
  <c r="AL529" i="225"/>
  <c r="AW529" i="225" s="1"/>
  <c r="AA529" i="225"/>
  <c r="AA502" i="225" s="1"/>
  <c r="AK529" i="225"/>
  <c r="AV529" i="225" s="1"/>
  <c r="S502" i="225"/>
  <c r="Y262" i="225"/>
  <c r="T262" i="225"/>
  <c r="Q262" i="225"/>
  <c r="R262" i="225"/>
  <c r="AG262" i="225"/>
  <c r="Z262" i="225"/>
  <c r="AJ262" i="225"/>
  <c r="AJ256" i="225"/>
  <c r="AE262" i="225"/>
  <c r="AI256" i="225"/>
  <c r="AK256" i="225"/>
  <c r="AG256" i="225"/>
  <c r="AH256" i="225"/>
  <c r="AL256" i="225"/>
  <c r="AA262" i="225"/>
  <c r="P256" i="225"/>
  <c r="S256" i="225"/>
  <c r="AF256" i="225"/>
  <c r="V262" i="225"/>
  <c r="AL262" i="225"/>
  <c r="AA256" i="225"/>
  <c r="Q256" i="225"/>
  <c r="AD256" i="225"/>
  <c r="AD262" i="225"/>
  <c r="V256" i="225"/>
  <c r="X256" i="225"/>
  <c r="Y256" i="225"/>
  <c r="R256" i="225"/>
  <c r="Z256" i="225"/>
  <c r="T256" i="225"/>
  <c r="AB256" i="225"/>
  <c r="U256" i="225"/>
  <c r="AC256" i="225"/>
  <c r="L224" i="225"/>
  <c r="L225" i="225"/>
  <c r="O256" i="225"/>
  <c r="W256" i="225"/>
  <c r="W262" i="225"/>
  <c r="P262" i="225"/>
  <c r="AE256" i="225"/>
  <c r="AN515" i="225" l="1"/>
  <c r="R502" i="225"/>
  <c r="A220" i="225"/>
  <c r="A221" i="225" s="1"/>
  <c r="B221" i="225" s="1"/>
  <c r="B219" i="225"/>
  <c r="A310" i="225"/>
  <c r="A311" i="225" s="1"/>
  <c r="A312" i="225" s="1"/>
  <c r="B309" i="225"/>
  <c r="U393" i="225"/>
  <c r="T394" i="225"/>
  <c r="A216" i="225"/>
  <c r="A217" i="225" s="1"/>
  <c r="A218" i="225" s="1"/>
  <c r="S538" i="225"/>
  <c r="AN538" i="225" s="1"/>
  <c r="P536" i="225"/>
  <c r="AE502" i="225"/>
  <c r="AH502" i="225"/>
  <c r="AE536" i="225"/>
  <c r="AP536" i="225" s="1"/>
  <c r="AK536" i="225"/>
  <c r="AV536" i="225" s="1"/>
  <c r="AJ536" i="225"/>
  <c r="AU536" i="225" s="1"/>
  <c r="AF536" i="225"/>
  <c r="AQ536" i="225" s="1"/>
  <c r="AD536" i="225"/>
  <c r="Z536" i="225"/>
  <c r="Y536" i="225"/>
  <c r="AM536" i="225"/>
  <c r="V536" i="225"/>
  <c r="AD502" i="225"/>
  <c r="AN502" i="225" s="1"/>
  <c r="AA536" i="225"/>
  <c r="AC536" i="225"/>
  <c r="AF502" i="225"/>
  <c r="AI502" i="225"/>
  <c r="AJ502" i="225"/>
  <c r="X536" i="225"/>
  <c r="AB536" i="225"/>
  <c r="AH536" i="225"/>
  <c r="AS536" i="225" s="1"/>
  <c r="AG536" i="225"/>
  <c r="AR536" i="225" s="1"/>
  <c r="U536" i="225"/>
  <c r="AK502" i="225"/>
  <c r="S536" i="225"/>
  <c r="Q536" i="225"/>
  <c r="AL502" i="225"/>
  <c r="O536" i="225"/>
  <c r="W536" i="225"/>
  <c r="T536" i="225"/>
  <c r="AI536" i="225"/>
  <c r="AT536" i="225" s="1"/>
  <c r="AG502" i="225"/>
  <c r="Y537" i="225"/>
  <c r="AH537" i="225"/>
  <c r="AS537" i="225" s="1"/>
  <c r="AC537" i="225"/>
  <c r="A205" i="225"/>
  <c r="A201" i="225"/>
  <c r="A202" i="225" s="1"/>
  <c r="A203" i="225" s="1"/>
  <c r="B203" i="225" s="1"/>
  <c r="AL201" i="225"/>
  <c r="AK201" i="225"/>
  <c r="AJ201" i="225"/>
  <c r="AI201" i="225"/>
  <c r="AH201" i="225"/>
  <c r="AG201" i="225"/>
  <c r="AF201" i="225"/>
  <c r="AE201" i="225"/>
  <c r="AD201" i="225"/>
  <c r="AC201" i="225"/>
  <c r="AB201" i="225"/>
  <c r="AA201" i="225"/>
  <c r="Z201" i="225"/>
  <c r="Y201" i="225"/>
  <c r="X201" i="225"/>
  <c r="W201" i="225"/>
  <c r="V201" i="225"/>
  <c r="U201" i="225"/>
  <c r="T201" i="225"/>
  <c r="S201" i="225"/>
  <c r="R201" i="225"/>
  <c r="Q201" i="225"/>
  <c r="P201" i="225"/>
  <c r="O201" i="225"/>
  <c r="AL193" i="225"/>
  <c r="AL191" i="225" s="1"/>
  <c r="AK193" i="225"/>
  <c r="AK191" i="225" s="1"/>
  <c r="AJ193" i="225"/>
  <c r="AJ191" i="225" s="1"/>
  <c r="AI193" i="225"/>
  <c r="AI191" i="225" s="1"/>
  <c r="AH193" i="225"/>
  <c r="AH191" i="225" s="1"/>
  <c r="AG193" i="225"/>
  <c r="AG191" i="225" s="1"/>
  <c r="AF193" i="225"/>
  <c r="AF191" i="225" s="1"/>
  <c r="AE193" i="225"/>
  <c r="AE191" i="225" s="1"/>
  <c r="AD193" i="225"/>
  <c r="AD191" i="225" s="1"/>
  <c r="AC193" i="225"/>
  <c r="AC191" i="225" s="1"/>
  <c r="AB193" i="225"/>
  <c r="AB191" i="225" s="1"/>
  <c r="AA193" i="225"/>
  <c r="AA191" i="225" s="1"/>
  <c r="Z193" i="225"/>
  <c r="Z191" i="225" s="1"/>
  <c r="Y193" i="225"/>
  <c r="Y191" i="225" s="1"/>
  <c r="X193" i="225"/>
  <c r="X191" i="225" s="1"/>
  <c r="W193" i="225"/>
  <c r="W191" i="225" s="1"/>
  <c r="V193" i="225"/>
  <c r="V191" i="225" s="1"/>
  <c r="U193" i="225"/>
  <c r="U191" i="225" s="1"/>
  <c r="T193" i="225"/>
  <c r="T191" i="225" s="1"/>
  <c r="S193" i="225"/>
  <c r="S191" i="225" s="1"/>
  <c r="R193" i="225"/>
  <c r="R191" i="225" s="1"/>
  <c r="Q193" i="225"/>
  <c r="Q191" i="225" s="1"/>
  <c r="P193" i="225"/>
  <c r="P191" i="225" s="1"/>
  <c r="O193" i="225"/>
  <c r="O191" i="225" s="1"/>
  <c r="AL177" i="225"/>
  <c r="AK177" i="225"/>
  <c r="AJ177" i="225"/>
  <c r="AI177" i="225"/>
  <c r="AH177" i="225"/>
  <c r="AG177" i="225"/>
  <c r="AF177" i="225"/>
  <c r="AE177" i="225"/>
  <c r="AD177" i="225"/>
  <c r="AC177" i="225"/>
  <c r="AB177" i="225"/>
  <c r="AA177" i="225"/>
  <c r="Z177" i="225"/>
  <c r="Y177" i="225"/>
  <c r="X177" i="225"/>
  <c r="W177" i="225"/>
  <c r="V177" i="225"/>
  <c r="U177" i="225"/>
  <c r="T177" i="225"/>
  <c r="S177" i="225"/>
  <c r="R177" i="225"/>
  <c r="Q177" i="225"/>
  <c r="P177" i="225"/>
  <c r="O177" i="225"/>
  <c r="AL170" i="225"/>
  <c r="AK170" i="225"/>
  <c r="AJ170" i="225"/>
  <c r="AI170" i="225"/>
  <c r="AH170" i="225"/>
  <c r="AG170" i="225"/>
  <c r="AF170" i="225"/>
  <c r="AE170" i="225"/>
  <c r="AD170" i="225"/>
  <c r="AC170" i="225"/>
  <c r="AB170" i="225"/>
  <c r="AA170" i="225"/>
  <c r="Z170" i="225"/>
  <c r="Y170" i="225"/>
  <c r="X170" i="225"/>
  <c r="W170" i="225"/>
  <c r="V170" i="225"/>
  <c r="U170" i="225"/>
  <c r="T170" i="225"/>
  <c r="S170" i="225"/>
  <c r="R170" i="225"/>
  <c r="Q170" i="225"/>
  <c r="P170" i="225"/>
  <c r="O170" i="225"/>
  <c r="AL167" i="225"/>
  <c r="AK167" i="225"/>
  <c r="AJ167" i="225"/>
  <c r="AI167" i="225"/>
  <c r="AH167" i="225"/>
  <c r="AG167" i="225"/>
  <c r="AF167" i="225"/>
  <c r="AE167" i="225"/>
  <c r="AD167" i="225"/>
  <c r="AC167" i="225"/>
  <c r="AB167" i="225"/>
  <c r="AA167" i="225"/>
  <c r="Z167" i="225"/>
  <c r="Y167" i="225"/>
  <c r="X167" i="225"/>
  <c r="W167" i="225"/>
  <c r="V167" i="225"/>
  <c r="U167" i="225"/>
  <c r="T167" i="225"/>
  <c r="S167" i="225"/>
  <c r="R167" i="225"/>
  <c r="Q167" i="225"/>
  <c r="P167" i="225"/>
  <c r="O167" i="225"/>
  <c r="AL164" i="225"/>
  <c r="AK164" i="225"/>
  <c r="AJ164" i="225"/>
  <c r="AI164" i="225"/>
  <c r="AH164" i="225"/>
  <c r="AG164" i="225"/>
  <c r="AF164" i="225"/>
  <c r="AE164" i="225"/>
  <c r="AD164" i="225"/>
  <c r="AC164" i="225"/>
  <c r="AB164" i="225"/>
  <c r="AA164" i="225"/>
  <c r="Z164" i="225"/>
  <c r="Y164" i="225"/>
  <c r="X164" i="225"/>
  <c r="W164" i="225"/>
  <c r="V164" i="225"/>
  <c r="U164" i="225"/>
  <c r="T164" i="225"/>
  <c r="S164" i="225"/>
  <c r="R164" i="225"/>
  <c r="Q164" i="225"/>
  <c r="P164" i="225"/>
  <c r="O164" i="225"/>
  <c r="AL161" i="225"/>
  <c r="AL160" i="225" s="1"/>
  <c r="AL158" i="225" s="1"/>
  <c r="AK161" i="225"/>
  <c r="AK160" i="225" s="1"/>
  <c r="AK158" i="225" s="1"/>
  <c r="AJ161" i="225"/>
  <c r="AJ160" i="225" s="1"/>
  <c r="AJ158" i="225" s="1"/>
  <c r="AI161" i="225"/>
  <c r="AI160" i="225" s="1"/>
  <c r="AI158" i="225" s="1"/>
  <c r="AH161" i="225"/>
  <c r="AH160" i="225" s="1"/>
  <c r="AH158" i="225" s="1"/>
  <c r="AG161" i="225"/>
  <c r="AF161" i="225"/>
  <c r="AF160" i="225" s="1"/>
  <c r="AF158" i="225" s="1"/>
  <c r="AE161" i="225"/>
  <c r="AE160" i="225" s="1"/>
  <c r="AE158" i="225" s="1"/>
  <c r="AD161" i="225"/>
  <c r="AD160" i="225" s="1"/>
  <c r="AD158" i="225" s="1"/>
  <c r="AC161" i="225"/>
  <c r="AB161" i="225"/>
  <c r="AB160" i="225" s="1"/>
  <c r="AB158" i="225" s="1"/>
  <c r="AA161" i="225"/>
  <c r="AA160" i="225" s="1"/>
  <c r="AA158" i="225" s="1"/>
  <c r="Z161" i="225"/>
  <c r="Z160" i="225" s="1"/>
  <c r="Z158" i="225" s="1"/>
  <c r="Y161" i="225"/>
  <c r="X161" i="225"/>
  <c r="X160" i="225" s="1"/>
  <c r="X158" i="225" s="1"/>
  <c r="W161" i="225"/>
  <c r="W160" i="225" s="1"/>
  <c r="W158" i="225" s="1"/>
  <c r="V161" i="225"/>
  <c r="V160" i="225" s="1"/>
  <c r="V158" i="225" s="1"/>
  <c r="U161" i="225"/>
  <c r="U160" i="225" s="1"/>
  <c r="U158" i="225" s="1"/>
  <c r="T161" i="225"/>
  <c r="T160" i="225" s="1"/>
  <c r="T158" i="225" s="1"/>
  <c r="S161" i="225"/>
  <c r="R161" i="225"/>
  <c r="R160" i="225" s="1"/>
  <c r="R158" i="225" s="1"/>
  <c r="Q161" i="225"/>
  <c r="Q160" i="225" s="1"/>
  <c r="Q158" i="225" s="1"/>
  <c r="P161" i="225"/>
  <c r="O161" i="225"/>
  <c r="O160" i="225" s="1"/>
  <c r="O158" i="225" s="1"/>
  <c r="A161" i="225"/>
  <c r="A162" i="225" s="1"/>
  <c r="A163" i="225" s="1"/>
  <c r="A164" i="225" s="1"/>
  <c r="A165" i="225" s="1"/>
  <c r="A166" i="225" s="1"/>
  <c r="A167" i="225" s="1"/>
  <c r="A168" i="225" s="1"/>
  <c r="A169" i="225" s="1"/>
  <c r="A170" i="225" s="1"/>
  <c r="A171" i="225" s="1"/>
  <c r="AL149" i="225"/>
  <c r="AK149" i="225"/>
  <c r="AJ149" i="225"/>
  <c r="AI149" i="225"/>
  <c r="AH149" i="225"/>
  <c r="AG149" i="225"/>
  <c r="AF149" i="225"/>
  <c r="AE149" i="225"/>
  <c r="AD149" i="225"/>
  <c r="AC149" i="225"/>
  <c r="AB149" i="225"/>
  <c r="AA149" i="225"/>
  <c r="Z149" i="225"/>
  <c r="Y149" i="225"/>
  <c r="X149" i="225"/>
  <c r="W149" i="225"/>
  <c r="V149" i="225"/>
  <c r="U149" i="225"/>
  <c r="T149" i="225"/>
  <c r="S149" i="225"/>
  <c r="R149" i="225"/>
  <c r="Q149" i="225"/>
  <c r="P149" i="225"/>
  <c r="O149" i="225"/>
  <c r="AL146" i="225"/>
  <c r="AK146" i="225"/>
  <c r="AJ146" i="225"/>
  <c r="AI146" i="225"/>
  <c r="AH146" i="225"/>
  <c r="AG146" i="225"/>
  <c r="AF146" i="225"/>
  <c r="AE146" i="225"/>
  <c r="AD146" i="225"/>
  <c r="AC146" i="225"/>
  <c r="AB146" i="225"/>
  <c r="AA146" i="225"/>
  <c r="Z146" i="225"/>
  <c r="Y146" i="225"/>
  <c r="X146" i="225"/>
  <c r="W146" i="225"/>
  <c r="V146" i="225"/>
  <c r="U146" i="225"/>
  <c r="T146" i="225"/>
  <c r="S146" i="225"/>
  <c r="R146" i="225"/>
  <c r="Q146" i="225"/>
  <c r="P146" i="225"/>
  <c r="O146" i="225"/>
  <c r="AL131" i="225"/>
  <c r="AK131" i="225"/>
  <c r="AJ131" i="225"/>
  <c r="AI131" i="225"/>
  <c r="AH131" i="225"/>
  <c r="AG131" i="225"/>
  <c r="AF131" i="225"/>
  <c r="AE131" i="225"/>
  <c r="AD131" i="225"/>
  <c r="AC131" i="225"/>
  <c r="AB131" i="225"/>
  <c r="AA131" i="225"/>
  <c r="Z131" i="225"/>
  <c r="Y131" i="225"/>
  <c r="X131" i="225"/>
  <c r="W131" i="225"/>
  <c r="V131" i="225"/>
  <c r="U131" i="225"/>
  <c r="T131" i="225"/>
  <c r="S131" i="225"/>
  <c r="R131" i="225"/>
  <c r="Q131" i="225"/>
  <c r="P131" i="225"/>
  <c r="O131" i="225"/>
  <c r="AL128" i="225"/>
  <c r="AK128" i="225"/>
  <c r="AJ128" i="225"/>
  <c r="AI128" i="225"/>
  <c r="AH128" i="225"/>
  <c r="AG128" i="225"/>
  <c r="AF128" i="225"/>
  <c r="AE128" i="225"/>
  <c r="AD128" i="225"/>
  <c r="AC128" i="225"/>
  <c r="AB128" i="225"/>
  <c r="AA128" i="225"/>
  <c r="Z128" i="225"/>
  <c r="Y128" i="225"/>
  <c r="X128" i="225"/>
  <c r="W128" i="225"/>
  <c r="V128" i="225"/>
  <c r="U128" i="225"/>
  <c r="T128" i="225"/>
  <c r="S128" i="225"/>
  <c r="R128" i="225"/>
  <c r="Q128" i="225"/>
  <c r="P128" i="225"/>
  <c r="O128" i="225"/>
  <c r="AL125" i="225"/>
  <c r="AK125" i="225"/>
  <c r="AJ125" i="225"/>
  <c r="AI125" i="225"/>
  <c r="AH125" i="225"/>
  <c r="AG125" i="225"/>
  <c r="AF125" i="225"/>
  <c r="AE125" i="225"/>
  <c r="AD125" i="225"/>
  <c r="AC125" i="225"/>
  <c r="AB125" i="225"/>
  <c r="AA125" i="225"/>
  <c r="Z125" i="225"/>
  <c r="Y125" i="225"/>
  <c r="X125" i="225"/>
  <c r="W125" i="225"/>
  <c r="V125" i="225"/>
  <c r="U125" i="225"/>
  <c r="T125" i="225"/>
  <c r="S125" i="225"/>
  <c r="R125" i="225"/>
  <c r="Q125" i="225"/>
  <c r="P125" i="225"/>
  <c r="O125" i="225"/>
  <c r="AL121" i="225"/>
  <c r="AK121" i="225"/>
  <c r="AJ121" i="225"/>
  <c r="AI121" i="225"/>
  <c r="AH121" i="225"/>
  <c r="AG121" i="225"/>
  <c r="AF121" i="225"/>
  <c r="AE121" i="225"/>
  <c r="AD121" i="225"/>
  <c r="AC121" i="225"/>
  <c r="AB121" i="225"/>
  <c r="AA121" i="225"/>
  <c r="Z121" i="225"/>
  <c r="Y121" i="225"/>
  <c r="X121" i="225"/>
  <c r="W121" i="225"/>
  <c r="V121" i="225"/>
  <c r="U121" i="225"/>
  <c r="T121" i="225"/>
  <c r="S121" i="225"/>
  <c r="R121" i="225"/>
  <c r="Q121" i="225"/>
  <c r="P121" i="225"/>
  <c r="O121" i="225"/>
  <c r="AL117" i="225"/>
  <c r="AK117" i="225"/>
  <c r="AJ117" i="225"/>
  <c r="AI117" i="225"/>
  <c r="AH117" i="225"/>
  <c r="AG117" i="225"/>
  <c r="AF117" i="225"/>
  <c r="AE117" i="225"/>
  <c r="AD117" i="225"/>
  <c r="AC117" i="225"/>
  <c r="AB117" i="225"/>
  <c r="AA117" i="225"/>
  <c r="Z117" i="225"/>
  <c r="Y117" i="225"/>
  <c r="X117" i="225"/>
  <c r="W117" i="225"/>
  <c r="V117" i="225"/>
  <c r="U117" i="225"/>
  <c r="T117" i="225"/>
  <c r="S117" i="225"/>
  <c r="R117" i="225"/>
  <c r="Q117" i="225"/>
  <c r="P117" i="225"/>
  <c r="O117" i="225"/>
  <c r="AL105" i="225"/>
  <c r="AK105" i="225"/>
  <c r="AJ105" i="225"/>
  <c r="AI105" i="225"/>
  <c r="AH105" i="225"/>
  <c r="AG105" i="225"/>
  <c r="AF105" i="225"/>
  <c r="AE105" i="225"/>
  <c r="AD105" i="225"/>
  <c r="AC105" i="225"/>
  <c r="AB105" i="225"/>
  <c r="AA105" i="225"/>
  <c r="Z105" i="225"/>
  <c r="Y105" i="225"/>
  <c r="X105" i="225"/>
  <c r="W105" i="225"/>
  <c r="V105" i="225"/>
  <c r="U105" i="225"/>
  <c r="T105" i="225"/>
  <c r="S105" i="225"/>
  <c r="R105" i="225"/>
  <c r="Q105" i="225"/>
  <c r="P105" i="225"/>
  <c r="O105" i="225"/>
  <c r="A102" i="225"/>
  <c r="A103" i="225" s="1"/>
  <c r="A104" i="225" s="1"/>
  <c r="A105" i="225" s="1"/>
  <c r="A106" i="225" s="1"/>
  <c r="A107" i="225" s="1"/>
  <c r="A108" i="225" s="1"/>
  <c r="A109" i="225" s="1"/>
  <c r="A110" i="225" s="1"/>
  <c r="A111" i="225" s="1"/>
  <c r="A112" i="225" s="1"/>
  <c r="A113" i="225" s="1"/>
  <c r="A114" i="225" s="1"/>
  <c r="A115" i="225" s="1"/>
  <c r="A116" i="225" s="1"/>
  <c r="A117" i="225" s="1"/>
  <c r="A118" i="225" s="1"/>
  <c r="A119" i="225" s="1"/>
  <c r="A120" i="225" s="1"/>
  <c r="A121" i="225" s="1"/>
  <c r="A122" i="225" s="1"/>
  <c r="A123" i="225" s="1"/>
  <c r="A124" i="225" s="1"/>
  <c r="A125" i="225" s="1"/>
  <c r="A126" i="225" s="1"/>
  <c r="A127" i="225" s="1"/>
  <c r="A128" i="225" s="1"/>
  <c r="A129" i="225" s="1"/>
  <c r="A130" i="225" s="1"/>
  <c r="A131" i="225" s="1"/>
  <c r="A132" i="225" s="1"/>
  <c r="A133" i="225" s="1"/>
  <c r="A134" i="225" s="1"/>
  <c r="AO536" i="225" l="1"/>
  <c r="AN536" i="225"/>
  <c r="AO502" i="225"/>
  <c r="B312" i="225"/>
  <c r="A316" i="225"/>
  <c r="A317" i="225" s="1"/>
  <c r="A318" i="225" s="1"/>
  <c r="A313" i="225"/>
  <c r="A314" i="225" s="1"/>
  <c r="A315" i="225" s="1"/>
  <c r="B315" i="225" s="1"/>
  <c r="AC160" i="225"/>
  <c r="AC158" i="225" s="1"/>
  <c r="AG160" i="225"/>
  <c r="AG158" i="225" s="1"/>
  <c r="AW502" i="225"/>
  <c r="AS502" i="225"/>
  <c r="AU502" i="225"/>
  <c r="AP502" i="225"/>
  <c r="AT502" i="225"/>
  <c r="AR502" i="225"/>
  <c r="AV502" i="225"/>
  <c r="AQ502" i="225"/>
  <c r="Y160" i="225"/>
  <c r="Y158" i="225" s="1"/>
  <c r="S160" i="225"/>
  <c r="S158" i="225" s="1"/>
  <c r="AD538" i="225"/>
  <c r="AO538" i="225" s="1"/>
  <c r="AF537" i="225"/>
  <c r="AQ537" i="225" s="1"/>
  <c r="AC538" i="225"/>
  <c r="P160" i="225"/>
  <c r="P158" i="225" s="1"/>
  <c r="AA537" i="225"/>
  <c r="Q537" i="225"/>
  <c r="AJ538" i="225"/>
  <c r="AU538" i="225" s="1"/>
  <c r="X538" i="225"/>
  <c r="AE537" i="225"/>
  <c r="AP537" i="225" s="1"/>
  <c r="Z537" i="225"/>
  <c r="Y538" i="225"/>
  <c r="V538" i="225"/>
  <c r="AK537" i="225"/>
  <c r="AV537" i="225" s="1"/>
  <c r="X537" i="225"/>
  <c r="O538" i="225"/>
  <c r="AA538" i="225"/>
  <c r="AE538" i="225"/>
  <c r="AP538" i="225" s="1"/>
  <c r="AI538" i="225"/>
  <c r="AT538" i="225" s="1"/>
  <c r="AM537" i="225"/>
  <c r="AB537" i="225"/>
  <c r="T537" i="225"/>
  <c r="AB538" i="225"/>
  <c r="P538" i="225"/>
  <c r="S537" i="225"/>
  <c r="AJ537" i="225"/>
  <c r="AU537" i="225" s="1"/>
  <c r="W537" i="225"/>
  <c r="T538" i="225"/>
  <c r="Z538" i="225"/>
  <c r="O537" i="225"/>
  <c r="V537" i="225"/>
  <c r="AM538" i="225"/>
  <c r="Q538" i="225"/>
  <c r="AH538" i="225"/>
  <c r="AS538" i="225" s="1"/>
  <c r="V540" i="225"/>
  <c r="AI540" i="225"/>
  <c r="AT540" i="225" s="1"/>
  <c r="AF540" i="225"/>
  <c r="AQ540" i="225" s="1"/>
  <c r="AA540" i="225"/>
  <c r="AH540" i="225"/>
  <c r="AS540" i="225" s="1"/>
  <c r="T540" i="225"/>
  <c r="X540" i="225"/>
  <c r="AB540" i="225"/>
  <c r="S540" i="225"/>
  <c r="AN540" i="225" s="1"/>
  <c r="Z540" i="225"/>
  <c r="P540" i="225"/>
  <c r="AM540" i="225"/>
  <c r="AG540" i="225"/>
  <c r="AR540" i="225" s="1"/>
  <c r="W540" i="225"/>
  <c r="AK540" i="225"/>
  <c r="AV540" i="225" s="1"/>
  <c r="Y540" i="225"/>
  <c r="AD540" i="225"/>
  <c r="AO540" i="225" s="1"/>
  <c r="O540" i="225"/>
  <c r="AL540" i="225"/>
  <c r="AW540" i="225" s="1"/>
  <c r="AC540" i="225"/>
  <c r="Q540" i="225"/>
  <c r="AJ540" i="225"/>
  <c r="AU540" i="225" s="1"/>
  <c r="U540" i="225"/>
  <c r="AE540" i="225"/>
  <c r="AP540" i="225" s="1"/>
  <c r="AG538" i="225"/>
  <c r="AR538" i="225" s="1"/>
  <c r="P537" i="225"/>
  <c r="AD537" i="225"/>
  <c r="AO537" i="225" s="1"/>
  <c r="U537" i="225"/>
  <c r="U538" i="225"/>
  <c r="AL538" i="225"/>
  <c r="AW538" i="225" s="1"/>
  <c r="AK538" i="225"/>
  <c r="AV538" i="225" s="1"/>
  <c r="AI537" i="225"/>
  <c r="AT537" i="225" s="1"/>
  <c r="AL537" i="225"/>
  <c r="AW537" i="225" s="1"/>
  <c r="AG537" i="225"/>
  <c r="AR537" i="225" s="1"/>
  <c r="W538" i="225"/>
  <c r="AF538" i="225"/>
  <c r="AQ538" i="225" s="1"/>
  <c r="V393" i="225"/>
  <c r="U394" i="225"/>
  <c r="R536" i="225"/>
  <c r="A172" i="225"/>
  <c r="A174" i="225" s="1"/>
  <c r="A175" i="225" s="1"/>
  <c r="A176" i="225" s="1"/>
  <c r="A177" i="225" s="1"/>
  <c r="A178" i="225" s="1"/>
  <c r="A173" i="225"/>
  <c r="P124" i="225"/>
  <c r="P116" i="225" s="1"/>
  <c r="AF140" i="225"/>
  <c r="AF145" i="225" s="1"/>
  <c r="AI140" i="225"/>
  <c r="AI145" i="225" s="1"/>
  <c r="P140" i="225"/>
  <c r="P145" i="225" s="1"/>
  <c r="X140" i="225"/>
  <c r="X145" i="225" s="1"/>
  <c r="X124" i="225"/>
  <c r="X116" i="225" s="1"/>
  <c r="R124" i="225"/>
  <c r="R116" i="225" s="1"/>
  <c r="Z124" i="225"/>
  <c r="Z116" i="225" s="1"/>
  <c r="AH124" i="225"/>
  <c r="AH116" i="225" s="1"/>
  <c r="AC124" i="225"/>
  <c r="AC116" i="225" s="1"/>
  <c r="AK124" i="225"/>
  <c r="O124" i="225"/>
  <c r="W124" i="225"/>
  <c r="W116" i="225" s="1"/>
  <c r="AE124" i="225"/>
  <c r="AE116" i="225" s="1"/>
  <c r="Q140" i="225"/>
  <c r="Q145" i="225" s="1"/>
  <c r="Y140" i="225"/>
  <c r="Y145" i="225" s="1"/>
  <c r="AG140" i="225"/>
  <c r="AG145" i="225" s="1"/>
  <c r="AA140" i="225"/>
  <c r="AA145" i="225" s="1"/>
  <c r="AF124" i="225"/>
  <c r="S140" i="225"/>
  <c r="S145" i="225" s="1"/>
  <c r="Q124" i="225"/>
  <c r="Q116" i="225" s="1"/>
  <c r="Y124" i="225"/>
  <c r="Y116" i="225" s="1"/>
  <c r="AG124" i="225"/>
  <c r="U124" i="225"/>
  <c r="U140" i="225"/>
  <c r="U145" i="225" s="1"/>
  <c r="AC140" i="225"/>
  <c r="AC145" i="225" s="1"/>
  <c r="AK140" i="225"/>
  <c r="AK145" i="225" s="1"/>
  <c r="S124" i="225"/>
  <c r="S116" i="225" s="1"/>
  <c r="AI124" i="225"/>
  <c r="AI116" i="225" s="1"/>
  <c r="T124" i="225"/>
  <c r="AB124" i="225"/>
  <c r="AJ124" i="225"/>
  <c r="R140" i="225"/>
  <c r="R145" i="225" s="1"/>
  <c r="Z140" i="225"/>
  <c r="Z145" i="225" s="1"/>
  <c r="AH140" i="225"/>
  <c r="AH145" i="225" s="1"/>
  <c r="T140" i="225"/>
  <c r="T145" i="225" s="1"/>
  <c r="AB140" i="225"/>
  <c r="AB145" i="225" s="1"/>
  <c r="AJ140" i="225"/>
  <c r="AJ145" i="225" s="1"/>
  <c r="AA124" i="225"/>
  <c r="V124" i="225"/>
  <c r="V116" i="225" s="1"/>
  <c r="AD124" i="225"/>
  <c r="AD116" i="225" s="1"/>
  <c r="AL124" i="225"/>
  <c r="AL116" i="225" s="1"/>
  <c r="V140" i="225"/>
  <c r="V145" i="225" s="1"/>
  <c r="AD140" i="225"/>
  <c r="AD145" i="225" s="1"/>
  <c r="AL140" i="225"/>
  <c r="AL145" i="225" s="1"/>
  <c r="O140" i="225"/>
  <c r="O145" i="225" s="1"/>
  <c r="AE140" i="225"/>
  <c r="AE145" i="225" s="1"/>
  <c r="W140" i="225"/>
  <c r="W145" i="225" s="1"/>
  <c r="A64" i="225"/>
  <c r="A65" i="225" s="1"/>
  <c r="A66" i="225" s="1"/>
  <c r="A67" i="225" s="1"/>
  <c r="A55" i="225"/>
  <c r="A56" i="225" s="1"/>
  <c r="A57" i="225" s="1"/>
  <c r="A58" i="225" s="1"/>
  <c r="A59" i="225" s="1"/>
  <c r="A60" i="225" s="1"/>
  <c r="AN537" i="225" l="1"/>
  <c r="A61" i="225"/>
  <c r="B60" i="225"/>
  <c r="A68" i="225"/>
  <c r="B67" i="225"/>
  <c r="R537" i="225"/>
  <c r="R538" i="225"/>
  <c r="R540" i="225"/>
  <c r="S541" i="225"/>
  <c r="AN541" i="225" s="1"/>
  <c r="Z541" i="225"/>
  <c r="O541" i="225"/>
  <c r="Q541" i="225"/>
  <c r="AG541" i="225"/>
  <c r="AR541" i="225" s="1"/>
  <c r="AJ541" i="225"/>
  <c r="AU541" i="225" s="1"/>
  <c r="AK541" i="225"/>
  <c r="AV541" i="225" s="1"/>
  <c r="Y541" i="225"/>
  <c r="AM541" i="225"/>
  <c r="AL541" i="225"/>
  <c r="AW541" i="225" s="1"/>
  <c r="AC541" i="225"/>
  <c r="P541" i="225"/>
  <c r="AE541" i="225"/>
  <c r="AP541" i="225" s="1"/>
  <c r="AD541" i="225"/>
  <c r="AO541" i="225" s="1"/>
  <c r="U541" i="225"/>
  <c r="AA541" i="225"/>
  <c r="W541" i="225"/>
  <c r="V541" i="225"/>
  <c r="AB541" i="225"/>
  <c r="AI541" i="225"/>
  <c r="AT541" i="225" s="1"/>
  <c r="T541" i="225"/>
  <c r="X541" i="225"/>
  <c r="AF541" i="225"/>
  <c r="AQ541" i="225" s="1"/>
  <c r="AH541" i="225"/>
  <c r="AS541" i="225" s="1"/>
  <c r="W393" i="225"/>
  <c r="V394" i="225"/>
  <c r="X110" i="225"/>
  <c r="AJ116" i="225"/>
  <c r="AJ110" i="225" s="1"/>
  <c r="AF116" i="225"/>
  <c r="AF110" i="225" s="1"/>
  <c r="AL110" i="225"/>
  <c r="AI110" i="225"/>
  <c r="Y110" i="225"/>
  <c r="Z110" i="225"/>
  <c r="O116" i="225"/>
  <c r="O110" i="225" s="1"/>
  <c r="AA116" i="225"/>
  <c r="AA110" i="225" s="1"/>
  <c r="T116" i="225"/>
  <c r="T110" i="225" s="1"/>
  <c r="AD110" i="225"/>
  <c r="S110" i="225"/>
  <c r="Q110" i="225"/>
  <c r="R110" i="225"/>
  <c r="V110" i="225"/>
  <c r="AE110" i="225"/>
  <c r="P110" i="225"/>
  <c r="AK116" i="225"/>
  <c r="AK110" i="225" s="1"/>
  <c r="AC110" i="225"/>
  <c r="AH110" i="225"/>
  <c r="W110" i="225"/>
  <c r="AG116" i="225"/>
  <c r="AG110" i="225" s="1"/>
  <c r="U116" i="225"/>
  <c r="U110" i="225" s="1"/>
  <c r="AB116" i="225"/>
  <c r="AB110" i="225" s="1"/>
  <c r="A179" i="225"/>
  <c r="A181" i="225" s="1"/>
  <c r="A180" i="225"/>
  <c r="R541" i="225" l="1"/>
  <c r="P542" i="225"/>
  <c r="P539" i="225" s="1"/>
  <c r="P560" i="225" s="1"/>
  <c r="P561" i="225" s="1"/>
  <c r="AE542" i="225"/>
  <c r="AP542" i="225" s="1"/>
  <c r="AD542" i="225"/>
  <c r="AO542" i="225" s="1"/>
  <c r="U542" i="225"/>
  <c r="U539" i="225" s="1"/>
  <c r="U560" i="225" s="1"/>
  <c r="U561" i="225" s="1"/>
  <c r="AB542" i="225"/>
  <c r="AB539" i="225" s="1"/>
  <c r="AB560" i="225" s="1"/>
  <c r="AB561" i="225" s="1"/>
  <c r="W542" i="225"/>
  <c r="W539" i="225" s="1"/>
  <c r="W560" i="225" s="1"/>
  <c r="W561" i="225" s="1"/>
  <c r="V542" i="225"/>
  <c r="V539" i="225" s="1"/>
  <c r="V560" i="225" s="1"/>
  <c r="V561" i="225" s="1"/>
  <c r="T542" i="225"/>
  <c r="T539" i="225" s="1"/>
  <c r="T560" i="225" s="1"/>
  <c r="T561" i="225" s="1"/>
  <c r="AF542" i="225"/>
  <c r="AQ542" i="225" s="1"/>
  <c r="AH542" i="225"/>
  <c r="AS542" i="225" s="1"/>
  <c r="X542" i="225"/>
  <c r="X539" i="225" s="1"/>
  <c r="X560" i="225" s="1"/>
  <c r="X561" i="225" s="1"/>
  <c r="S542" i="225"/>
  <c r="AN542" i="225" s="1"/>
  <c r="Z542" i="225"/>
  <c r="Z539" i="225" s="1"/>
  <c r="Z560" i="225" s="1"/>
  <c r="Z561" i="225" s="1"/>
  <c r="O542" i="225"/>
  <c r="O539" i="225" s="1"/>
  <c r="O560" i="225" s="1"/>
  <c r="O561" i="225" s="1"/>
  <c r="Y542" i="225"/>
  <c r="Y539" i="225" s="1"/>
  <c r="Y560" i="225" s="1"/>
  <c r="Y561" i="225" s="1"/>
  <c r="AM542" i="225"/>
  <c r="AM539" i="225" s="1"/>
  <c r="AM560" i="225" s="1"/>
  <c r="AM561" i="225" s="1"/>
  <c r="AL542" i="225"/>
  <c r="AW542" i="225" s="1"/>
  <c r="AC542" i="225"/>
  <c r="AC539" i="225" s="1"/>
  <c r="AC560" i="225" s="1"/>
  <c r="AC561" i="225" s="1"/>
  <c r="Q542" i="225"/>
  <c r="AG542" i="225"/>
  <c r="AR542" i="225" s="1"/>
  <c r="AK542" i="225"/>
  <c r="AV542" i="225" s="1"/>
  <c r="AJ542" i="225"/>
  <c r="AU542" i="225" s="1"/>
  <c r="AA542" i="225"/>
  <c r="AA539" i="225" s="1"/>
  <c r="AA560" i="225" s="1"/>
  <c r="AA561" i="225" s="1"/>
  <c r="AI542" i="225"/>
  <c r="AT542" i="225" s="1"/>
  <c r="X393" i="225"/>
  <c r="W394" i="225"/>
  <c r="AK101" i="225"/>
  <c r="AK115" i="225"/>
  <c r="AF101" i="225"/>
  <c r="AF115" i="225"/>
  <c r="P101" i="225"/>
  <c r="P115" i="225"/>
  <c r="AJ101" i="225"/>
  <c r="AJ115" i="225"/>
  <c r="AB101" i="225"/>
  <c r="AB115" i="225"/>
  <c r="AE101" i="225"/>
  <c r="AE115" i="225"/>
  <c r="O101" i="225"/>
  <c r="O115" i="225"/>
  <c r="X101" i="225"/>
  <c r="X115" i="225"/>
  <c r="AD101" i="225"/>
  <c r="AD115" i="225"/>
  <c r="AA101" i="225"/>
  <c r="AA115" i="225"/>
  <c r="U101" i="225"/>
  <c r="U115" i="225"/>
  <c r="V101" i="225"/>
  <c r="V115" i="225"/>
  <c r="Z101" i="225"/>
  <c r="Z115" i="225"/>
  <c r="R101" i="225"/>
  <c r="R115" i="225"/>
  <c r="AC101" i="225"/>
  <c r="AC115" i="225"/>
  <c r="T101" i="225"/>
  <c r="T115" i="225"/>
  <c r="AG101" i="225"/>
  <c r="AG115" i="225"/>
  <c r="Y101" i="225"/>
  <c r="Y115" i="225"/>
  <c r="W101" i="225"/>
  <c r="W115" i="225"/>
  <c r="Q101" i="225"/>
  <c r="Q115" i="225"/>
  <c r="AI101" i="225"/>
  <c r="AI115" i="225"/>
  <c r="AH101" i="225"/>
  <c r="AH115" i="225"/>
  <c r="S101" i="225"/>
  <c r="S115" i="225"/>
  <c r="AL101" i="225"/>
  <c r="AL115" i="225"/>
  <c r="Q413" i="225" l="1"/>
  <c r="Q414" i="225"/>
  <c r="Q415" i="225"/>
  <c r="Q416" i="225"/>
  <c r="Q417" i="225"/>
  <c r="Q418" i="225"/>
  <c r="Q419" i="225"/>
  <c r="Q420" i="225"/>
  <c r="Q425" i="225"/>
  <c r="Q427" i="225"/>
  <c r="Q426" i="225"/>
  <c r="M649" i="225"/>
  <c r="M704" i="225"/>
  <c r="M650" i="225"/>
  <c r="M701" i="225"/>
  <c r="M651" i="225"/>
  <c r="M703" i="225"/>
  <c r="M702" i="225"/>
  <c r="M652" i="225"/>
  <c r="M705" i="225"/>
  <c r="M653" i="225"/>
  <c r="M654" i="225"/>
  <c r="M706" i="225"/>
  <c r="M707" i="225"/>
  <c r="M655" i="225"/>
  <c r="M708" i="225"/>
  <c r="M656" i="225"/>
  <c r="O559" i="225"/>
  <c r="W559" i="225"/>
  <c r="Z559" i="225"/>
  <c r="AB559" i="225"/>
  <c r="X559" i="225"/>
  <c r="U559" i="225"/>
  <c r="AC559" i="225"/>
  <c r="P559" i="225"/>
  <c r="AM559" i="225"/>
  <c r="AA559" i="225"/>
  <c r="Y559" i="225"/>
  <c r="V559" i="225"/>
  <c r="R542" i="225"/>
  <c r="AG539" i="225"/>
  <c r="AG560" i="225" s="1"/>
  <c r="AG561" i="225" s="1"/>
  <c r="Q539" i="225"/>
  <c r="Q560" i="225" s="1"/>
  <c r="Q561" i="225" s="1"/>
  <c r="AL539" i="225"/>
  <c r="AL560" i="225" s="1"/>
  <c r="AL561" i="225" s="1"/>
  <c r="AI539" i="225"/>
  <c r="AI560" i="225" s="1"/>
  <c r="AI561" i="225" s="1"/>
  <c r="S539" i="225"/>
  <c r="S560" i="225" s="1"/>
  <c r="S561" i="225" s="1"/>
  <c r="AK539" i="225"/>
  <c r="AK560" i="225" s="1"/>
  <c r="AK561" i="225" s="1"/>
  <c r="AD539" i="225"/>
  <c r="AE539" i="225"/>
  <c r="AE560" i="225" s="1"/>
  <c r="AE561" i="225" s="1"/>
  <c r="AF539" i="225"/>
  <c r="AF560" i="225" s="1"/>
  <c r="AF561" i="225" s="1"/>
  <c r="AJ539" i="225"/>
  <c r="AJ560" i="225" s="1"/>
  <c r="AJ561" i="225" s="1"/>
  <c r="AH539" i="225"/>
  <c r="AH560" i="225" s="1"/>
  <c r="AH561" i="225" s="1"/>
  <c r="Y393" i="225"/>
  <c r="X394" i="225"/>
  <c r="Q409" i="225" l="1"/>
  <c r="Q407" i="225" s="1"/>
  <c r="Q405" i="225" s="1"/>
  <c r="Q447" i="225" s="1"/>
  <c r="AO539" i="225"/>
  <c r="AD560" i="225"/>
  <c r="AW539" i="225"/>
  <c r="R539" i="225"/>
  <c r="AS539" i="225"/>
  <c r="AP539" i="225"/>
  <c r="AT539" i="225"/>
  <c r="AU539" i="225"/>
  <c r="AQ539" i="225"/>
  <c r="AV539" i="225"/>
  <c r="AR539" i="225"/>
  <c r="AN539" i="225"/>
  <c r="Z393" i="225"/>
  <c r="Y394" i="225"/>
  <c r="AD549" i="225" l="1"/>
  <c r="AN560" i="225"/>
  <c r="AN561" i="225"/>
  <c r="S559" i="225"/>
  <c r="AQ561" i="225"/>
  <c r="AF559" i="225"/>
  <c r="AQ560" i="225"/>
  <c r="AS561" i="225"/>
  <c r="AH559" i="225"/>
  <c r="AS560" i="225"/>
  <c r="AE559" i="225"/>
  <c r="AP561" i="225"/>
  <c r="AP560" i="225"/>
  <c r="AR561" i="225"/>
  <c r="AG559" i="225"/>
  <c r="AR560" i="225"/>
  <c r="AU561" i="225"/>
  <c r="AU560" i="225"/>
  <c r="AJ559" i="225"/>
  <c r="Q559" i="225"/>
  <c r="R559" i="225" s="1"/>
  <c r="R560" i="225"/>
  <c r="R561" i="225" s="1"/>
  <c r="AV561" i="225"/>
  <c r="AK559" i="225"/>
  <c r="AV560" i="225"/>
  <c r="AT560" i="225"/>
  <c r="AI559" i="225"/>
  <c r="AT561" i="225"/>
  <c r="AL559" i="225"/>
  <c r="AW560" i="225"/>
  <c r="AW561" i="225"/>
  <c r="AA393" i="225"/>
  <c r="Z394" i="225"/>
  <c r="M20" i="507"/>
  <c r="M19" i="507"/>
  <c r="M16" i="507"/>
  <c r="M15" i="507"/>
  <c r="M12" i="507"/>
  <c r="M11" i="507"/>
  <c r="AD545" i="225" l="1"/>
  <c r="T559" i="225"/>
  <c r="AB393" i="225"/>
  <c r="AA394" i="225"/>
  <c r="AO545" i="225" l="1"/>
  <c r="AD561" i="225"/>
  <c r="AO560" i="225"/>
  <c r="AD559" i="225"/>
  <c r="AC393" i="225"/>
  <c r="AB394" i="225"/>
  <c r="AD393" i="225" l="1"/>
  <c r="AC394" i="225"/>
  <c r="AE393" i="225" l="1"/>
  <c r="AD394" i="225"/>
  <c r="AO553" i="225" l="1"/>
  <c r="AF393" i="225"/>
  <c r="AE394" i="225"/>
  <c r="AG393" i="225" l="1"/>
  <c r="AF394" i="225"/>
  <c r="AH393" i="225" l="1"/>
  <c r="AH394" i="225" s="1"/>
  <c r="AG394" i="225"/>
  <c r="A138" i="225" l="1"/>
  <c r="A139" i="225" s="1"/>
  <c r="A140" i="225" s="1"/>
  <c r="A141" i="225" s="1"/>
  <c r="A142" i="225" s="1"/>
  <c r="A143" i="225" s="1"/>
  <c r="A144" i="225" s="1"/>
  <c r="O137" i="225"/>
  <c r="AO561" i="225" l="1"/>
  <c r="A145" i="225"/>
  <c r="A146" i="225"/>
  <c r="A147" i="225" s="1"/>
  <c r="A148" i="225" s="1"/>
  <c r="A149" i="225" s="1"/>
  <c r="A150" i="225" s="1"/>
  <c r="A151" i="225" s="1"/>
  <c r="A152" i="225" s="1"/>
  <c r="A185" i="225"/>
  <c r="A186" i="225" s="1"/>
  <c r="A187" i="225" s="1"/>
  <c r="A188" i="225" l="1"/>
  <c r="A190" i="225" s="1"/>
  <c r="A191" i="225" s="1"/>
  <c r="A192" i="225" s="1"/>
  <c r="A193" i="225" s="1"/>
  <c r="A194" i="225" s="1"/>
  <c r="A189" i="225"/>
  <c r="AA570" i="225" l="1"/>
  <c r="AA571" i="225"/>
  <c r="AA565" i="225"/>
  <c r="AA567" i="225" s="1"/>
  <c r="AA568" i="225" s="1"/>
  <c r="O570" i="225"/>
  <c r="O571" i="225"/>
  <c r="O565" i="225"/>
  <c r="O567" i="225" s="1"/>
  <c r="O568" i="225" s="1"/>
  <c r="P565" i="225"/>
  <c r="P567" i="225" s="1"/>
  <c r="P568" i="225" s="1"/>
  <c r="P570" i="225"/>
  <c r="P571" i="225"/>
  <c r="AI570" i="225"/>
  <c r="AI565" i="225"/>
  <c r="AI567" i="225" s="1"/>
  <c r="AI568" i="225" s="1"/>
  <c r="AI571" i="225"/>
  <c r="AT571" i="225" s="1"/>
  <c r="R564" i="225"/>
  <c r="Q571" i="225"/>
  <c r="Q570" i="225"/>
  <c r="Q565" i="225"/>
  <c r="Q567" i="225" s="1"/>
  <c r="T565" i="225"/>
  <c r="T567" i="225" s="1"/>
  <c r="T568" i="225" s="1"/>
  <c r="T571" i="225"/>
  <c r="T570" i="225"/>
  <c r="U570" i="225"/>
  <c r="U565" i="225"/>
  <c r="U567" i="225" s="1"/>
  <c r="U568" i="225" s="1"/>
  <c r="U571" i="225"/>
  <c r="X571" i="225"/>
  <c r="X570" i="225"/>
  <c r="X565" i="225"/>
  <c r="X567" i="225" s="1"/>
  <c r="X568" i="225" s="1"/>
  <c r="W565" i="225"/>
  <c r="W567" i="225" s="1"/>
  <c r="W568" i="225" s="1"/>
  <c r="W571" i="225"/>
  <c r="W570" i="225"/>
  <c r="AF570" i="225"/>
  <c r="AF565" i="225"/>
  <c r="AF567" i="225" s="1"/>
  <c r="AF568" i="225" s="1"/>
  <c r="AF571" i="225"/>
  <c r="AQ571" i="225" s="1"/>
  <c r="Y571" i="225"/>
  <c r="Y570" i="225"/>
  <c r="Y565" i="225"/>
  <c r="Y567" i="225" s="1"/>
  <c r="Y568" i="225" s="1"/>
  <c r="AJ571" i="225"/>
  <c r="AU571" i="225" s="1"/>
  <c r="AJ570" i="225"/>
  <c r="AJ565" i="225"/>
  <c r="AJ567" i="225" s="1"/>
  <c r="AJ568" i="225" s="1"/>
  <c r="V565" i="225"/>
  <c r="V567" i="225" s="1"/>
  <c r="V568" i="225" s="1"/>
  <c r="V571" i="225"/>
  <c r="V570" i="225"/>
  <c r="AD571" i="225"/>
  <c r="AO571" i="225" s="1"/>
  <c r="AD565" i="225"/>
  <c r="AD567" i="225" s="1"/>
  <c r="AD568" i="225" s="1"/>
  <c r="AD570" i="225"/>
  <c r="AG571" i="225"/>
  <c r="AR571" i="225" s="1"/>
  <c r="AG570" i="225"/>
  <c r="AG565" i="225"/>
  <c r="AG567" i="225" s="1"/>
  <c r="AG568" i="225" s="1"/>
  <c r="AC570" i="225"/>
  <c r="AC565" i="225"/>
  <c r="AC567" i="225" s="1"/>
  <c r="AC568" i="225" s="1"/>
  <c r="AC571" i="225"/>
  <c r="AB571" i="225"/>
  <c r="AB570" i="225"/>
  <c r="AB565" i="225"/>
  <c r="AB567" i="225" s="1"/>
  <c r="AB568" i="225" s="1"/>
  <c r="AH571" i="225"/>
  <c r="AS571" i="225" s="1"/>
  <c r="AH565" i="225"/>
  <c r="AH567" i="225" s="1"/>
  <c r="AH568" i="225" s="1"/>
  <c r="AH570" i="225"/>
  <c r="AE571" i="225"/>
  <c r="AP571" i="225" s="1"/>
  <c r="AE565" i="225"/>
  <c r="AE567" i="225" s="1"/>
  <c r="AE568" i="225" s="1"/>
  <c r="AE570" i="225"/>
  <c r="S571" i="225"/>
  <c r="AN571" i="225" s="1"/>
  <c r="S565" i="225"/>
  <c r="S567" i="225" s="1"/>
  <c r="S568" i="225" s="1"/>
  <c r="S570" i="225"/>
  <c r="AL565" i="225"/>
  <c r="AL567" i="225" s="1"/>
  <c r="AL568" i="225" s="1"/>
  <c r="AL571" i="225"/>
  <c r="AW571" i="225" s="1"/>
  <c r="AL570" i="225"/>
  <c r="Z570" i="225"/>
  <c r="Z571" i="225"/>
  <c r="Z565" i="225"/>
  <c r="Z567" i="225" s="1"/>
  <c r="Z568" i="225" s="1"/>
  <c r="AK571" i="225"/>
  <c r="AV571" i="225" s="1"/>
  <c r="AK570" i="225"/>
  <c r="AK565" i="225"/>
  <c r="AK567" i="225" s="1"/>
  <c r="AK568" i="225" s="1"/>
  <c r="AM570" i="225"/>
  <c r="AM565" i="225"/>
  <c r="AM567" i="225" s="1"/>
  <c r="AM568" i="225" s="1"/>
  <c r="AM571" i="225"/>
  <c r="A195" i="225"/>
  <c r="A196" i="225"/>
  <c r="R570" i="225" l="1"/>
  <c r="AI574" i="225"/>
  <c r="AI573" i="225"/>
  <c r="AI575" i="225" s="1"/>
  <c r="AI576" i="225"/>
  <c r="P576" i="225"/>
  <c r="P573" i="225"/>
  <c r="P575" i="225" s="1"/>
  <c r="P574" i="225"/>
  <c r="Y574" i="225"/>
  <c r="Y576" i="225"/>
  <c r="Y573" i="225"/>
  <c r="Y575" i="225" s="1"/>
  <c r="AG573" i="225"/>
  <c r="AG575" i="225" s="1"/>
  <c r="AG574" i="225"/>
  <c r="AG576" i="225"/>
  <c r="W576" i="225"/>
  <c r="W574" i="225"/>
  <c r="W573" i="225"/>
  <c r="W575" i="225" s="1"/>
  <c r="V576" i="225"/>
  <c r="V573" i="225"/>
  <c r="V575" i="225" s="1"/>
  <c r="V574" i="225"/>
  <c r="AB573" i="225"/>
  <c r="AB575" i="225" s="1"/>
  <c r="AB576" i="225"/>
  <c r="AB574" i="225"/>
  <c r="S574" i="225"/>
  <c r="S573" i="225"/>
  <c r="S575" i="225" s="1"/>
  <c r="S576" i="225"/>
  <c r="AE573" i="225"/>
  <c r="AE575" i="225" s="1"/>
  <c r="AE576" i="225"/>
  <c r="AE574" i="225"/>
  <c r="AK573" i="225"/>
  <c r="AK575" i="225" s="1"/>
  <c r="AK574" i="225"/>
  <c r="AK576" i="225"/>
  <c r="T573" i="225"/>
  <c r="T575" i="225" s="1"/>
  <c r="T576" i="225"/>
  <c r="T574" i="225"/>
  <c r="AL574" i="225"/>
  <c r="AL576" i="225"/>
  <c r="AL573" i="225"/>
  <c r="AL575" i="225" s="1"/>
  <c r="Z574" i="225"/>
  <c r="Z573" i="225"/>
  <c r="Z575" i="225" s="1"/>
  <c r="Z576" i="225"/>
  <c r="AC573" i="225"/>
  <c r="AC575" i="225" s="1"/>
  <c r="AC574" i="225"/>
  <c r="AC576" i="225"/>
  <c r="X573" i="225"/>
  <c r="X575" i="225" s="1"/>
  <c r="X576" i="225"/>
  <c r="X574" i="225"/>
  <c r="AF573" i="225"/>
  <c r="AF575" i="225" s="1"/>
  <c r="AF576" i="225"/>
  <c r="AF574" i="225"/>
  <c r="AD574" i="225"/>
  <c r="AD573" i="225"/>
  <c r="AD575" i="225" s="1"/>
  <c r="AD576" i="225"/>
  <c r="AJ573" i="225"/>
  <c r="AJ575" i="225" s="1"/>
  <c r="AJ576" i="225"/>
  <c r="AJ574" i="225"/>
  <c r="U573" i="225"/>
  <c r="U575" i="225" s="1"/>
  <c r="U576" i="225"/>
  <c r="U574" i="225"/>
  <c r="AA574" i="225"/>
  <c r="AA573" i="225"/>
  <c r="AA575" i="225" s="1"/>
  <c r="AA576" i="225"/>
  <c r="Q568" i="225"/>
  <c r="R568" i="225" s="1"/>
  <c r="R567" i="225"/>
  <c r="AH576" i="225"/>
  <c r="AH573" i="225"/>
  <c r="AH575" i="225" s="1"/>
  <c r="AH574" i="225"/>
  <c r="O576" i="225"/>
  <c r="O574" i="225"/>
  <c r="O573" i="225"/>
  <c r="O575" i="225" s="1"/>
  <c r="Q574" i="225"/>
  <c r="Q573" i="225"/>
  <c r="R572" i="225"/>
  <c r="Q576" i="225"/>
  <c r="AM576" i="225"/>
  <c r="AM574" i="225"/>
  <c r="AM573" i="225"/>
  <c r="AM575" i="225" s="1"/>
  <c r="R565" i="225"/>
  <c r="R574" i="225" l="1"/>
  <c r="R573" i="225"/>
  <c r="Q575" i="225"/>
  <c r="R575" i="225" s="1"/>
  <c r="R576" i="225"/>
  <c r="R571" i="225" l="1"/>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 ref="H9"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<sst xmlns="http://schemas.openxmlformats.org/spreadsheetml/2006/main" count="11209" uniqueCount="3249">
  <si>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</si>
  <si>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</si>
  <si>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</si>
  <si>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</si>
  <si>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</si>
  <si>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</si>
  <si>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</si>
  <si>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</si>
  <si>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</si>
  <si>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</si>
  <si>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</si>
  <si>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</si>
  <si>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</si>
  <si>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</si>
  <si>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Год</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</si>
  <si>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</si>
  <si>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</si>
  <si>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</si>
  <si>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</si>
  <si>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</si>
  <si>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</si>
  <si>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</si>
  <si>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</si>
  <si>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</si>
  <si>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</si>
  <si>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</si>
  <si>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</si>
  <si>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</si>
  <si>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</si>
  <si>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</si>
  <si>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</si>
  <si>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</si>
  <si>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</si>
  <si>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</si>
  <si>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</si>
  <si>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</si>
  <si>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</si>
  <si>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</si>
  <si>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</si>
  <si>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</si>
  <si>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</si>
  <si>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</si>
  <si>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</si>
  <si>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</si>
  <si>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</si>
  <si>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</si>
  <si>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</si>
  <si>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</si>
  <si>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</si>
  <si>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</si>
  <si>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</si>
  <si>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</si>
  <si>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</si>
  <si>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</si>
  <si>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</si>
  <si>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</si>
  <si>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</si>
  <si>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</si>
  <si>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</si>
  <si>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</si>
  <si>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</si>
  <si>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</si>
  <si>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</si>
  <si>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</si>
  <si>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</si>
  <si>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</si>
  <si>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</si>
  <si>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</si>
  <si>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</si>
  <si>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</si>
  <si>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</si>
  <si>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</si>
  <si>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</si>
  <si>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</si>
  <si>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</si>
  <si>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</si>
  <si>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</si>
  <si>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</si>
  <si>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</si>
  <si>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</si>
  <si>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</si>
  <si>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</si>
  <si>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</si>
  <si>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</si>
  <si>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</si>
  <si>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</si>
  <si>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</si>
  <si>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</si>
  <si>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</si>
  <si>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</si>
  <si>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</si>
  <si>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</si>
  <si>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</si>
  <si>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</si>
  <si>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</si>
  <si>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</si>
  <si>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</si>
  <si>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</si>
  <si>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</si>
  <si>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</si>
  <si>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</si>
  <si>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</si>
  <si>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</si>
  <si>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</si>
  <si>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</si>
  <si>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</si>
  <si>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</si>
  <si>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</si>
  <si>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</si>
  <si>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</si>
  <si>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</si>
  <si>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</si>
  <si>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</si>
  <si>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</si>
  <si>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</si>
  <si>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</si>
  <si>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</si>
  <si>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</si>
  <si>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</si>
  <si>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</si>
  <si>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</si>
  <si>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</si>
  <si>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</si>
  <si>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</si>
  <si>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</si>
  <si>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</si>
  <si>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</si>
  <si>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</si>
  <si>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</si>
  <si>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</si>
  <si>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</si>
  <si>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</si>
  <si>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Налог на прибыль</t>
  </si>
  <si>
    <t>Налог на имущество</t>
  </si>
  <si>
    <t>Показатели</t>
  </si>
  <si>
    <t>Единица измерения</t>
  </si>
  <si>
    <t>2.1.1</t>
  </si>
  <si>
    <t>%</t>
  </si>
  <si>
    <t>2.2</t>
  </si>
  <si>
    <t>2.2.1</t>
  </si>
  <si>
    <t>4.1</t>
  </si>
  <si>
    <t>8.1</t>
  </si>
  <si>
    <t>modList01</t>
  </si>
  <si>
    <t>Лог обновления</t>
  </si>
  <si>
    <t>modUpdTemplMain</t>
  </si>
  <si>
    <t>Индексы</t>
  </si>
  <si>
    <t>Индекс потребительских цен</t>
  </si>
  <si>
    <t>Статус</t>
  </si>
  <si>
    <t>e-mail</t>
  </si>
  <si>
    <t>1.1</t>
  </si>
  <si>
    <t>1.2</t>
  </si>
  <si>
    <t>2.3</t>
  </si>
  <si>
    <t>2.3.1</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</si>
  <si>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</si>
  <si>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</si>
  <si>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</si>
  <si>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</si>
  <si>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</si>
  <si>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</si>
  <si>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</si>
  <si>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</si>
  <si>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</si>
  <si>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</si>
  <si>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</si>
  <si>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</si>
  <si>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</si>
  <si>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</si>
  <si>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</si>
  <si>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</si>
  <si>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</si>
  <si>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</si>
  <si>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</si>
  <si>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</si>
  <si>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</si>
  <si>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</si>
  <si>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</si>
  <si>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</si>
  <si>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</si>
  <si>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</si>
  <si>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</si>
  <si>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</si>
  <si>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</si>
  <si>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</si>
  <si>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</si>
  <si>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</si>
  <si>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</si>
  <si>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</si>
  <si>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</si>
  <si>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</si>
  <si>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</si>
  <si>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</si>
  <si>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</si>
  <si>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</si>
  <si>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</si>
  <si>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</si>
  <si>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</si>
  <si>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</si>
  <si>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</si>
  <si>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</si>
  <si>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</si>
  <si>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</si>
  <si>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</si>
  <si>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</si>
  <si>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</si>
  <si>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</si>
  <si>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</si>
  <si>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</si>
  <si>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</si>
  <si>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</si>
  <si>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</si>
  <si>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</si>
  <si>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</si>
  <si>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</si>
  <si>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</si>
  <si>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</si>
  <si>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</si>
  <si>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</si>
  <si>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</si>
  <si>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</si>
  <si>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</si>
  <si>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</si>
  <si>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</si>
  <si>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</si>
  <si>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</si>
  <si>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</si>
  <si>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</si>
  <si>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</si>
  <si>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</si>
  <si>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</si>
  <si>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</si>
  <si>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</si>
  <si>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</si>
  <si>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</si>
  <si>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</si>
  <si>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</si>
  <si>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</si>
  <si>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</si>
  <si>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</si>
  <si>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</si>
  <si>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</si>
  <si>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</si>
  <si>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</si>
  <si>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</si>
  <si>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</si>
  <si>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</si>
  <si>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</si>
  <si>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</si>
  <si>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</si>
  <si>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</si>
  <si>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</si>
  <si>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</si>
  <si>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</si>
  <si>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</si>
  <si>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</si>
  <si>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</si>
  <si>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</si>
  <si>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</si>
  <si>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</si>
  <si>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</si>
  <si>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Период регулирования (корректировки)</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</si>
  <si>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</si>
  <si>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</si>
  <si>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</si>
  <si>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</si>
  <si>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</si>
  <si>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</si>
  <si>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</si>
  <si>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</si>
  <si>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</si>
  <si>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</si>
  <si>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</si>
  <si>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</si>
  <si>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</si>
  <si>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</si>
  <si>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</si>
  <si>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</si>
  <si>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</si>
  <si>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</si>
  <si>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</si>
  <si>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</si>
  <si>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</si>
  <si>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</si>
  <si>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</si>
  <si>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</si>
  <si>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</si>
  <si>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</si>
  <si>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</si>
  <si>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</si>
  <si>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</si>
  <si>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</si>
  <si>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</si>
  <si>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</si>
  <si>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</si>
  <si>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</si>
  <si>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</si>
  <si>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</si>
  <si>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</si>
  <si>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</si>
  <si>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</si>
  <si>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</si>
  <si>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</si>
  <si>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</si>
  <si>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</si>
  <si>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</si>
  <si>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</si>
  <si>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</si>
  <si>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</si>
  <si>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</si>
  <si>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</si>
  <si>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</si>
  <si>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</si>
  <si>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</si>
  <si>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</si>
  <si>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</si>
  <si>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</si>
  <si>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</si>
  <si>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</si>
  <si>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</si>
  <si>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</si>
  <si>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</si>
  <si>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</si>
  <si>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</si>
  <si>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</si>
  <si>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</si>
  <si>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</si>
  <si>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</si>
  <si>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</si>
  <si>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</si>
  <si>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</si>
  <si>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</si>
  <si>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</si>
  <si>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</si>
  <si>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</si>
  <si>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</si>
  <si>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</si>
  <si>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</si>
  <si>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</si>
  <si>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</si>
  <si>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</si>
  <si>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</si>
  <si>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</si>
  <si>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</si>
  <si>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</si>
  <si>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</si>
  <si>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</si>
  <si>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</si>
  <si>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</si>
  <si>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</si>
  <si>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</si>
  <si>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</si>
  <si>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</si>
  <si>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</si>
  <si>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</si>
  <si>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</si>
  <si>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</si>
  <si>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</si>
  <si>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</si>
  <si>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</si>
  <si>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</si>
  <si>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</si>
  <si>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</si>
  <si>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</si>
  <si>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</si>
  <si>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</si>
  <si>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</si>
  <si>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</si>
  <si>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</si>
  <si>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</si>
  <si>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</si>
  <si>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</si>
  <si>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</si>
  <si>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</si>
  <si>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</si>
  <si>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</si>
  <si>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</si>
  <si>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</si>
  <si>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</si>
  <si>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</si>
  <si>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</si>
  <si>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</si>
  <si>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</si>
  <si>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</si>
  <si>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</si>
  <si>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</si>
  <si>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</si>
  <si>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</si>
  <si>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</si>
  <si>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</si>
  <si>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</si>
  <si>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</si>
  <si>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</si>
  <si>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</si>
  <si>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</si>
  <si>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</si>
  <si>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</si>
  <si>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</si>
  <si>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</si>
  <si>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</si>
  <si>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</si>
  <si>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</si>
  <si>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</si>
  <si>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</si>
  <si>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</si>
  <si>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</si>
  <si>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</si>
  <si>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</si>
  <si>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</si>
  <si>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</si>
  <si>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</si>
  <si>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</si>
  <si>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</si>
  <si>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</si>
  <si>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</si>
  <si>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</si>
  <si>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</si>
  <si>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</si>
  <si>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</si>
  <si>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</si>
  <si>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</si>
  <si>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</si>
  <si>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</si>
  <si>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</si>
  <si>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</si>
  <si>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</si>
  <si>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</si>
  <si>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</si>
  <si>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</si>
  <si>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</si>
  <si>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</si>
  <si>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</si>
  <si>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</si>
  <si>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</si>
  <si>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</si>
  <si>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</si>
  <si>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</si>
  <si>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</si>
  <si>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</si>
  <si>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</si>
  <si>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</si>
  <si>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Предложения организации</t>
  </si>
  <si>
    <t>Экономия расходов всего</t>
  </si>
  <si>
    <t>Экономия операционных расходов</t>
  </si>
  <si>
    <t>Экономия от снижения потребления электрической энергии (мощности)</t>
  </si>
  <si>
    <t>Экономия от снижения потребления прочих энергетических ресурсов, холодной воды, теплоносителя</t>
  </si>
  <si>
    <t>Значение индекса потребительских цен</t>
  </si>
  <si>
    <t>Кумулятивное значение индекса потребительских цен</t>
  </si>
  <si>
    <t>Экономия расходов с учетом ИПЦ</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</si>
  <si>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</si>
  <si>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</si>
  <si>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</si>
  <si>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</si>
  <si>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</si>
  <si>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I</t>
  </si>
  <si>
    <t>Расчет размера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</si>
  <si>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Товарная выручка</t>
  </si>
  <si>
    <t>Скорректированная фактическая величина необходимой валовой выручки</t>
  </si>
  <si>
    <t>Операционные расходы, определенные на (i-2)-й год исходя из фактических значений параметров расчета тарифов</t>
  </si>
  <si>
    <r>
      <t>ОР</t>
    </r>
    <r>
      <rPr>
        <vertAlign val="superscript"/>
        <sz val="9"/>
        <color theme="1"/>
        <rFont val="Tahoma"/>
        <family val="2"/>
        <charset val="204"/>
      </rPr>
      <t>Ф</t>
    </r>
    <r>
      <rPr>
        <vertAlign val="subscript"/>
        <sz val="9"/>
        <color theme="1"/>
        <rFont val="Tahoma"/>
        <family val="2"/>
        <charset val="204"/>
      </rPr>
      <t>i-2</t>
    </r>
  </si>
  <si>
    <t>фактические документально подтвержденные неподконтрольные расходы, в том числе:</t>
  </si>
  <si>
    <r>
      <t>Н Р</t>
    </r>
    <r>
      <rPr>
        <vertAlign val="superscript"/>
        <sz val="9"/>
        <color theme="1"/>
        <rFont val="Tahoma"/>
        <family val="2"/>
        <charset val="204"/>
      </rPr>
      <t>Ф</t>
    </r>
    <r>
      <rPr>
        <vertAlign val="subscript"/>
        <sz val="9"/>
        <color theme="1"/>
        <rFont val="Tahoma"/>
        <family val="2"/>
        <charset val="204"/>
      </rPr>
      <t>i-2</t>
    </r>
  </si>
  <si>
    <t>расходы на оплату товаров (услуг, работ), приобретаемых у других организаций, осуществляющих регулируемые виды деятельности;</t>
  </si>
  <si>
    <t>2.2.2</t>
  </si>
  <si>
    <t>расходы на реагенты</t>
  </si>
  <si>
    <t>2.2.3</t>
  </si>
  <si>
    <t>расходы на уплату налогов, сборов и других обязательных платежей</t>
  </si>
  <si>
    <t>2.2.4</t>
  </si>
  <si>
    <t>Расходы на мероприятия по защите централизованных систем водоснабжения и (или)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снижению риска и смягчению последствий чрезвычайных ситуаций (за исключением мероприятий, включенных в инвестиционную программу)</t>
  </si>
  <si>
    <t>2.2.5</t>
  </si>
  <si>
    <t>расходы на арендную и концессионную плату, лизинговые платежи</t>
  </si>
  <si>
    <t>2.2.6</t>
  </si>
  <si>
    <t>2.2.7</t>
  </si>
  <si>
    <t>2.2.8</t>
  </si>
  <si>
    <t>расходы на обслуживание бесхозяйных сетей, эксплуатируемых регулируемой организацией</t>
  </si>
  <si>
    <t>2.2.9</t>
  </si>
  <si>
    <t>расходы на компенсацию экономически обоснованных расходов (выпадающих доходов прошлых периодов)</t>
  </si>
  <si>
    <t>2.2.10</t>
  </si>
  <si>
    <t>расходы на займы и кредиты (для метода индексации)</t>
  </si>
  <si>
    <t>2.2.11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</si>
  <si>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</si>
  <si>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</si>
  <si>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r>
      <t>РТ</t>
    </r>
    <r>
      <rPr>
        <vertAlign val="superscript"/>
        <sz val="9"/>
        <color theme="1"/>
        <rFont val="Tahoma"/>
        <family val="2"/>
        <charset val="204"/>
      </rPr>
      <t>Ф</t>
    </r>
    <r>
      <rPr>
        <vertAlign val="subscript"/>
        <sz val="9"/>
        <color theme="1"/>
        <rFont val="Tahoma"/>
        <family val="2"/>
        <charset val="204"/>
      </rPr>
      <t>i-2</t>
    </r>
  </si>
  <si>
    <t>удельное потребление электрической энергии, установленное на соответствующий год</t>
  </si>
  <si>
    <t>УПЭФi-2</t>
  </si>
  <si>
    <t>кВтч/куб.м.</t>
  </si>
  <si>
    <t>Q ф i-2</t>
  </si>
  <si>
    <t>тыс.куб.м.</t>
  </si>
  <si>
    <t>ЦТ ф i-2</t>
  </si>
  <si>
    <t>руб./кВтч</t>
  </si>
  <si>
    <t>расходы на амортизацию в (i-2)-м году, определенные исходя из фактического состава имущества в (i-2)-м году</t>
  </si>
  <si>
    <r>
      <t>А</t>
    </r>
    <r>
      <rPr>
        <vertAlign val="superscript"/>
        <sz val="9"/>
        <color theme="1"/>
        <rFont val="Tahoma"/>
        <family val="2"/>
        <charset val="204"/>
      </rPr>
      <t>Ф</t>
    </r>
    <r>
      <rPr>
        <vertAlign val="subscript"/>
        <sz val="9"/>
        <color theme="1"/>
        <rFont val="Tahoma"/>
        <family val="2"/>
        <charset val="204"/>
      </rPr>
      <t>i-2</t>
    </r>
  </si>
  <si>
    <t>величина нормативной прибыли</t>
  </si>
  <si>
    <r>
      <t>ПР</t>
    </r>
    <r>
      <rPr>
        <vertAlign val="subscript"/>
        <sz val="9"/>
        <color theme="1"/>
        <rFont val="Tahoma"/>
        <family val="2"/>
        <charset val="204"/>
      </rPr>
      <t>i-2</t>
    </r>
  </si>
  <si>
    <t>2.6</t>
  </si>
  <si>
    <r>
      <t>ПР</t>
    </r>
    <r>
      <rPr>
        <vertAlign val="superscript"/>
        <sz val="9"/>
        <color theme="1"/>
        <rFont val="Tahoma"/>
        <family val="2"/>
        <charset val="204"/>
      </rPr>
      <t>ГО Ф</t>
    </r>
    <r>
      <rPr>
        <vertAlign val="subscript"/>
        <sz val="9"/>
        <color theme="1"/>
        <rFont val="Tahoma"/>
        <family val="2"/>
        <charset val="204"/>
      </rPr>
      <t>i-2</t>
    </r>
  </si>
  <si>
    <t>2.7</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</si>
  <si>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</si>
  <si>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r>
      <t>ΔИ</t>
    </r>
    <r>
      <rPr>
        <vertAlign val="subscript"/>
        <sz val="9"/>
        <color theme="1"/>
        <rFont val="Tahoma"/>
        <family val="2"/>
        <charset val="204"/>
      </rPr>
      <t>i-4</t>
    </r>
  </si>
  <si>
    <t>2.8</t>
  </si>
  <si>
    <t>степень исполнения регулируемой организацией производственной программы</t>
  </si>
  <si>
    <r>
      <t>ΔЦП</t>
    </r>
    <r>
      <rPr>
        <vertAlign val="subscript"/>
        <sz val="9"/>
        <color theme="1"/>
        <rFont val="Tahoma"/>
        <family val="2"/>
        <charset val="204"/>
      </rPr>
      <t>i-4</t>
    </r>
  </si>
  <si>
    <t>2.9</t>
  </si>
  <si>
    <t>II</t>
  </si>
  <si>
    <t>Расчет размера корректировки необходимой валовой выручки, в случае если на i-2 год применялся метод экономически обоснованных расходов</t>
  </si>
  <si>
    <t>Величина, определяющая результаты деятельности регулируемой организации до перехода к регулированию цен (тарифов) на основе долгосрочных параметров регулирования</t>
  </si>
  <si>
    <r>
      <t>ΔРЕЗ</t>
    </r>
    <r>
      <rPr>
        <vertAlign val="subscript"/>
        <sz val="9"/>
        <color theme="1"/>
        <rFont val="Tahoma"/>
        <family val="2"/>
        <charset val="204"/>
      </rPr>
      <t>i-2</t>
    </r>
  </si>
  <si>
    <t>экономически обоснованные расходы регулируемой организации, понесенные в периоды регулирования, предшествовавшие переходу к регулированию цен (тарифов) на основе долгосрочных параметров регулирования и не возмещенные регулируемой организации (не учтенные в тарифах)</t>
  </si>
  <si>
    <r>
      <t>ΔРЕЗ</t>
    </r>
    <r>
      <rPr>
        <vertAlign val="superscript"/>
        <sz val="9"/>
        <color theme="1"/>
        <rFont val="Tahoma"/>
        <family val="2"/>
        <charset val="204"/>
      </rPr>
      <t>+</t>
    </r>
    <r>
      <rPr>
        <vertAlign val="subscript"/>
        <sz val="9"/>
        <color theme="1"/>
        <rFont val="Tahoma"/>
        <family val="2"/>
        <charset val="204"/>
      </rPr>
      <t>i-2</t>
    </r>
  </si>
  <si>
    <t>доходы регулируемой организации, необоснованно полученные в периоды регулирования, предшествовавшие переходу к регулированию цен (тарифов) на основе долгосрочных параметров регулирования</t>
  </si>
  <si>
    <r>
      <t>ΔРЕЗ</t>
    </r>
    <r>
      <rPr>
        <vertAlign val="superscript"/>
        <sz val="9"/>
        <color theme="1"/>
        <rFont val="Tahoma"/>
        <family val="2"/>
        <charset val="204"/>
      </rPr>
      <t>-</t>
    </r>
    <r>
      <rPr>
        <vertAlign val="subscript"/>
        <sz val="9"/>
        <color theme="1"/>
        <rFont val="Tahoma"/>
        <family val="2"/>
        <charset val="204"/>
      </rPr>
      <t>i-2</t>
    </r>
  </si>
  <si>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 (корректировка по показателям надежности и качества)</t>
  </si>
  <si>
    <t>факт по данным организации</t>
  </si>
  <si>
    <t>факт, принятый органом регулирования</t>
  </si>
  <si>
    <t>Операционные расходы</t>
  </si>
  <si>
    <t>коэффициент индекса операционных расходов</t>
  </si>
  <si>
    <t>Производственные расходы:</t>
  </si>
  <si>
    <t>1.2.1</t>
  </si>
  <si>
    <t>расходы на приобретение сырья и материалов и их хранение, в том числе:</t>
  </si>
  <si>
    <t>1.2.1.1</t>
  </si>
  <si>
    <t>горюче-смазочные материалы</t>
  </si>
  <si>
    <t>1.2.1.2</t>
  </si>
  <si>
    <t>материалы и малоценные основные средства</t>
  </si>
  <si>
    <t>1.2.2</t>
  </si>
  <si>
    <t>расходы на оплату регулируемыми организациями выполняемых сторонними организациями работ и (или) услуг</t>
  </si>
  <si>
    <t>1.2.3</t>
  </si>
  <si>
    <t>1.2.3.1</t>
  </si>
  <si>
    <t>расходы на оплату труда основного производственного персонала</t>
  </si>
  <si>
    <t>1.2.3.2</t>
  </si>
  <si>
    <t>1.2.4</t>
  </si>
  <si>
    <t>общехозяйственные расходы</t>
  </si>
  <si>
    <t>1.2.5</t>
  </si>
  <si>
    <t>прочие производственные расходы</t>
  </si>
  <si>
    <t>1.2.5.1</t>
  </si>
  <si>
    <t>амортизация автотранспорта</t>
  </si>
  <si>
    <t>1.2.5.2</t>
  </si>
  <si>
    <t>расходы на обезвоживание, обезвреживание и захоронение осадка сточных вод</t>
  </si>
  <si>
    <t>1.2.5.3</t>
  </si>
  <si>
    <t>расходы на приобретение (использование) вспомогательных материалов, запасных частей</t>
  </si>
  <si>
    <t>1.2.5.4</t>
  </si>
  <si>
    <t>расходы на эксплуатацию, техническое обслуживание и ремонт автотранспорта</t>
  </si>
  <si>
    <t>1.2.5.5</t>
  </si>
  <si>
    <t>расходы на осуществление производственного контроля качества воды и производственного контроля состава и свойств сточных вод расходы на осуществление производственного контроля качества воды и производственного контроля состава и свойств сточных вод</t>
  </si>
  <si>
    <t>1.2.5.6</t>
  </si>
  <si>
    <t>расходы на аварийно-диспетчерское обслуживание</t>
  </si>
  <si>
    <t>Ремонтные расходы:</t>
  </si>
  <si>
    <t>1.3.1</t>
  </si>
  <si>
    <t>расходы на текущий ремонт централизованных систем водоснабжения и (или) водоотведения либо объектов, входящих в состав таких систем</t>
  </si>
  <si>
    <t>1.3.2</t>
  </si>
  <si>
    <t>расходы на капитальный ремонт централизованных систем водоснабжения и (или) водоотведения либо объектов, входящих в состав таких систем</t>
  </si>
  <si>
    <t>1.3.3</t>
  </si>
  <si>
    <t>расходы на оплату труда ремонтного персонала</t>
  </si>
  <si>
    <t>Административные расходы</t>
  </si>
  <si>
    <t>1.4.1</t>
  </si>
  <si>
    <t>расходы на оплату работ и услуг, выполняемых сторонними организациями, в том числе:</t>
  </si>
  <si>
    <t>1.4.1.1</t>
  </si>
  <si>
    <t>услуги связи и интернет</t>
  </si>
  <si>
    <t>1.4.1.2</t>
  </si>
  <si>
    <t>юридические услуги</t>
  </si>
  <si>
    <t>1.4.1.3</t>
  </si>
  <si>
    <t>аудиторские услуги</t>
  </si>
  <si>
    <t>1.4.1.4</t>
  </si>
  <si>
    <t>консультационные услуги</t>
  </si>
  <si>
    <t>1.4.1.5</t>
  </si>
  <si>
    <t>услуги по вневедомственной охране объектов и территорий</t>
  </si>
  <si>
    <t>1.4.1.6</t>
  </si>
  <si>
    <t>информационные услуги</t>
  </si>
  <si>
    <t>1.4.2</t>
  </si>
  <si>
    <t>1.4.2.1</t>
  </si>
  <si>
    <t>расходы на оплату труда административно-управленческого персонала</t>
  </si>
  <si>
    <t>1.4.2.2</t>
  </si>
  <si>
    <t>1.4.3</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</si>
  <si>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</si>
  <si>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1.4.4</t>
  </si>
  <si>
    <t>служебные командировки</t>
  </si>
  <si>
    <t>1.4.5</t>
  </si>
  <si>
    <t>обучение персонала</t>
  </si>
  <si>
    <t>1.4.6</t>
  </si>
  <si>
    <t>страхование производственных объектов</t>
  </si>
  <si>
    <t>1.4.7</t>
  </si>
  <si>
    <t>прочие административные расходы</t>
  </si>
  <si>
    <t>расходы на амортизацию непроизводственных активов</t>
  </si>
  <si>
    <t>расходы по охране объектов и территорий</t>
  </si>
  <si>
    <t>Сбытовые расходы гарантирующих организаций (за исключением указанных в п.2.5)</t>
  </si>
  <si>
    <t>Неподконтрольные расходы</t>
  </si>
  <si>
    <t>Расходы на оплату товаров (услуг, работ), приобретаемых у других организаций</t>
  </si>
  <si>
    <t>расходы на тепловую энергию</t>
  </si>
  <si>
    <t>2.1.2</t>
  </si>
  <si>
    <t>расходы на теплоноситель</t>
  </si>
  <si>
    <t>2.1.3</t>
  </si>
  <si>
    <t>расходы на транспортировку воды</t>
  </si>
  <si>
    <t>2.1.4</t>
  </si>
  <si>
    <t>расходы на покупку воды</t>
  </si>
  <si>
    <t>2.1.5</t>
  </si>
  <si>
    <t>услуги по горячему водоснабжению</t>
  </si>
  <si>
    <t>2.1.6</t>
  </si>
  <si>
    <t>услуги по приготовлению воды на нужды горячего водоснабжения</t>
  </si>
  <si>
    <t>2.1.7</t>
  </si>
  <si>
    <t>услуги по транспортировке горячей воды</t>
  </si>
  <si>
    <t>2.1.8</t>
  </si>
  <si>
    <t>услуги по водоотведению</t>
  </si>
  <si>
    <t>2.1.9</t>
  </si>
  <si>
    <t>услуги по транспортировке сточных вод</t>
  </si>
  <si>
    <t>Расходы на реагенты</t>
  </si>
  <si>
    <t>Налоги и сборы</t>
  </si>
  <si>
    <t>налог на прибыль</t>
  </si>
  <si>
    <t>2.3.2</t>
  </si>
  <si>
    <t>налог на имущество организаций</t>
  </si>
  <si>
    <t>2.3.3</t>
  </si>
  <si>
    <t>земельный налог и арендная плата за землю</t>
  </si>
  <si>
    <t>2.3.4</t>
  </si>
  <si>
    <t>водный налог</t>
  </si>
  <si>
    <t>2.3.5</t>
  </si>
  <si>
    <t>плата за пользование водным объектом</t>
  </si>
  <si>
    <t>2.3.6</t>
  </si>
  <si>
    <t>транспортный налог</t>
  </si>
  <si>
    <t>2.3.7</t>
  </si>
  <si>
    <t>плата за негативное воздействие на окружающую среду</t>
  </si>
  <si>
    <t>2.3.8</t>
  </si>
  <si>
    <t>единый налог при УСН</t>
  </si>
  <si>
    <t>2.3.9</t>
  </si>
  <si>
    <t>Арендная и концессионная плата, лизинговые платежи</t>
  </si>
  <si>
    <t>Сбытовые расходы гарантирующей организации</t>
  </si>
  <si>
    <t>2.6.1</t>
  </si>
  <si>
    <t>резерв по сомнительным долгам гарантирующей организации</t>
  </si>
  <si>
    <t>Экономия расходов</t>
  </si>
  <si>
    <t>Расходы на обслуживание бесхозяйных сетей</t>
  </si>
  <si>
    <t>Расходы на компенсацию экономически обоснованных расходов</t>
  </si>
  <si>
    <t>2.10</t>
  </si>
  <si>
    <t>Займы и кредиты (для метода индексации)</t>
  </si>
  <si>
    <t>2.10.1</t>
  </si>
  <si>
    <t>возврат займов и кредитов</t>
  </si>
  <si>
    <t>2.10.2</t>
  </si>
  <si>
    <t>проценты по займам и кредитам</t>
  </si>
  <si>
    <t>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</si>
  <si>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</si>
  <si>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</si>
  <si>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t>Амортизация основных средств и нематериальных активов, относимых к объектам централизованной системы водоснабжения (водоотведения)</t>
  </si>
  <si>
    <t>Нормативная прибыль</t>
  </si>
  <si>
    <t>средства на возврат инвестиционных займов</t>
  </si>
  <si>
    <t>средства на уплату процентов по инвестиционным займам</t>
  </si>
  <si>
    <t>капитальные расходы</t>
  </si>
  <si>
    <t>иные экономически обоснованные расходы на социальные нужды в соответствии с пунктом 86 настоящих Методических указаний</t>
  </si>
  <si>
    <t>Расчетная предпринимательская прибыль гарантирующей организации</t>
  </si>
  <si>
    <t>Ввод объектов системы водоснабжения и (или) водоотведения в эксплуатацию и изменение утверждённой инвестиционной программы</t>
  </si>
  <si>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t>
  </si>
  <si>
    <t>Величина сглаживания НВВ</t>
  </si>
  <si>
    <t>Необходимая валовая выручка</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</si>
  <si>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</si>
  <si>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Недополученные доходы / Выпадающие расходы</t>
  </si>
  <si>
    <t>Избыток средств, полученный за отчётные периоды регулирования</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</si>
  <si>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</si>
  <si>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</si>
  <si>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</si>
  <si>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</si>
  <si>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Итого НВВ для расчёта тарифа</t>
  </si>
  <si>
    <t>Полезный отпуск без разбивки по группам потребителей</t>
  </si>
  <si>
    <t>руб./куб.м</t>
  </si>
  <si>
    <t>темп роста тарифа</t>
  </si>
  <si>
    <t>средневзвешенный тариф</t>
  </si>
  <si>
    <t>Полезный отпуск для населения:</t>
  </si>
  <si>
    <t>16.1. Тарифное меню (водоснабжение/водоотведение)</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</si>
  <si>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</si>
  <si>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</si>
  <si>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</si>
  <si>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</si>
  <si>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</si>
  <si>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</si>
  <si>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</si>
  <si>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</si>
  <si>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</si>
  <si>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</si>
  <si>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</si>
  <si>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</si>
  <si>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</si>
  <si>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</si>
  <si>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</si>
  <si>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16.2. Тарифное меню (транспортировка воды / сточных вод)</t>
  </si>
  <si>
    <t>Тариф с 01.01 по 30.06 без НДС</t>
  </si>
  <si>
    <t>Тариф с 01.07 по 31.12 без НДС</t>
  </si>
  <si>
    <t>Базовый уровень операционных расходов</t>
  </si>
  <si>
    <t>Нормативный уровень прибыли</t>
  </si>
  <si>
    <t>Показатели энергетической эффективности</t>
  </si>
  <si>
    <t>Удельный расход электрической энергии</t>
  </si>
  <si>
    <t>кВтч/куб.м</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</si>
  <si>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</si>
  <si>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</si>
  <si>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</si>
  <si>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</si>
  <si>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</si>
  <si>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</si>
  <si>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</si>
  <si>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</si>
  <si>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</si>
  <si>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</si>
  <si>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</si>
  <si>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</si>
  <si>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</si>
  <si>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</si>
  <si>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</si>
  <si>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</si>
  <si>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</si>
  <si>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</si>
  <si>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</si>
  <si>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</si>
  <si>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</si>
  <si>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</si>
  <si>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</si>
  <si>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</si>
  <si>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</si>
  <si>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</si>
  <si>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</si>
  <si>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</si>
  <si>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</si>
  <si>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</si>
  <si>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</si>
  <si>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</si>
  <si>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</si>
  <si>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</si>
  <si>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</si>
  <si>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</si>
  <si>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</si>
  <si>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</si>
  <si>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</si>
  <si>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</si>
  <si>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</si>
  <si>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</si>
  <si>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</si>
  <si>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</si>
  <si>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</si>
  <si>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</si>
  <si>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</si>
  <si>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</si>
  <si>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</si>
  <si>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</si>
  <si>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</si>
  <si>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</si>
  <si>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</si>
  <si>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</si>
  <si>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</si>
  <si>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</si>
  <si>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</si>
  <si>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</si>
  <si>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</si>
  <si>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</si>
  <si>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</si>
  <si>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</si>
  <si>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</si>
  <si>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</si>
  <si>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</si>
  <si>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</si>
  <si>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</si>
  <si>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</si>
  <si>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</si>
  <si>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</si>
  <si>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</si>
  <si>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</si>
  <si>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</si>
  <si>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</si>
  <si>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</si>
  <si>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</si>
  <si>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</si>
  <si>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</si>
  <si>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</si>
  <si>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</si>
  <si>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</si>
  <si>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</si>
  <si>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</si>
  <si>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</si>
  <si>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</si>
  <si>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</si>
  <si>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</si>
  <si>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</si>
  <si>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</si>
  <si>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</si>
  <si>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</si>
  <si>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</si>
  <si>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</si>
  <si>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</si>
  <si>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</si>
  <si>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</si>
  <si>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</si>
  <si>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</si>
  <si>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</si>
  <si>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</si>
  <si>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</si>
  <si>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</si>
  <si>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</si>
  <si>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</si>
  <si>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</si>
  <si>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</si>
  <si>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</si>
  <si>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</si>
  <si>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</si>
  <si>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</si>
  <si>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</si>
  <si>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</si>
  <si>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</si>
  <si>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</si>
  <si>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</si>
  <si>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</si>
  <si>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</si>
  <si>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</si>
  <si>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</si>
  <si>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</si>
  <si>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</si>
  <si>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</si>
  <si>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</si>
  <si>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</si>
  <si>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</si>
  <si>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</si>
  <si>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</si>
  <si>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</si>
  <si>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</si>
  <si>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</si>
  <si>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</si>
  <si>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</si>
  <si>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</si>
  <si>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</si>
  <si>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</si>
  <si>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</si>
  <si>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</si>
  <si>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</si>
  <si>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</si>
  <si>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</si>
  <si>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</si>
  <si>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</si>
  <si>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</si>
  <si>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</si>
  <si>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</si>
  <si>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</si>
  <si>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</si>
  <si>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</si>
  <si>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</si>
  <si>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</si>
  <si>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</si>
  <si>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</si>
  <si>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</si>
  <si>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</si>
  <si>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</si>
  <si>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</si>
  <si>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</si>
  <si>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</si>
  <si>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</si>
  <si>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</si>
  <si>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</si>
  <si>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</si>
  <si>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</si>
  <si>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</si>
  <si>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</si>
  <si>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</si>
  <si>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</si>
  <si>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</si>
  <si>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</si>
  <si>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</si>
  <si>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</si>
  <si>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</si>
  <si>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</si>
  <si>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</si>
  <si>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</si>
  <si>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</si>
  <si>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</si>
  <si>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</si>
  <si>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</si>
  <si>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</si>
  <si>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</si>
  <si>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</si>
  <si>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</si>
  <si>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</si>
  <si>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</si>
  <si>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</si>
  <si>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</si>
  <si>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</si>
  <si>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</si>
  <si>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</si>
  <si>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</si>
  <si>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</si>
  <si>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</si>
  <si>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</si>
  <si>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</si>
  <si>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</si>
  <si>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</si>
  <si>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</si>
  <si>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</si>
  <si>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</si>
  <si>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</si>
  <si>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</si>
  <si>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</si>
  <si>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</si>
  <si>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</si>
  <si>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</si>
  <si>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</si>
  <si>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</si>
  <si>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</si>
  <si>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</si>
  <si>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</si>
  <si>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</si>
  <si>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</si>
  <si>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</si>
  <si>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</si>
  <si>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</si>
  <si>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Первый год долгосрочного периода регулирования</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</si>
  <si>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</si>
  <si>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</si>
  <si>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</si>
  <si>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</si>
  <si>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</si>
  <si>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</si>
  <si>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</si>
  <si>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</si>
  <si>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</si>
  <si>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</si>
  <si>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</si>
  <si>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</si>
  <si>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</si>
  <si>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</si>
  <si>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</si>
  <si>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</si>
  <si>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</si>
  <si>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</si>
  <si>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</si>
  <si>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</si>
  <si>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</si>
  <si>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</si>
  <si>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</si>
  <si>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</si>
  <si>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</si>
  <si>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</si>
  <si>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</si>
  <si>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</si>
  <si>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</si>
  <si>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</si>
  <si>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</si>
  <si>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</si>
  <si>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</si>
  <si>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</si>
  <si>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</si>
  <si>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</si>
  <si>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</si>
  <si>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</si>
  <si>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</si>
  <si>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</si>
  <si>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</si>
  <si>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</si>
  <si>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</si>
  <si>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</si>
  <si>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</si>
  <si>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</si>
  <si>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</si>
  <si>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</si>
  <si>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</si>
  <si>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</si>
  <si>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</si>
  <si>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</si>
  <si>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</si>
  <si>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</si>
  <si>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</si>
  <si>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</si>
  <si>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</si>
  <si>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</si>
  <si>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</si>
  <si>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</si>
  <si>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</si>
  <si>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</si>
  <si>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</si>
  <si>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</si>
  <si>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</si>
  <si>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</si>
  <si>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</si>
  <si>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</si>
  <si>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</si>
  <si>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</si>
  <si>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</si>
  <si>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</si>
  <si>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</si>
  <si>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</si>
  <si>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</si>
  <si>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</si>
  <si>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</si>
  <si>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</si>
  <si>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</si>
  <si>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</si>
  <si>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</si>
  <si>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</si>
  <si>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</si>
  <si>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</si>
  <si>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</si>
  <si>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</si>
  <si>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</si>
  <si>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</si>
  <si>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</si>
  <si>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</si>
  <si>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</si>
  <si>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</si>
  <si>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</si>
  <si>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</si>
  <si>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</si>
  <si>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</si>
  <si>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</si>
  <si>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</si>
  <si>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</si>
  <si>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</si>
  <si>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</si>
  <si>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</si>
  <si>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</si>
  <si>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</si>
  <si>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</si>
  <si>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</si>
  <si>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</si>
  <si>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</si>
  <si>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</si>
  <si>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</si>
  <si>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</si>
  <si>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</si>
  <si>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</si>
  <si>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</si>
  <si>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</si>
  <si>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</si>
  <si>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</si>
  <si>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</si>
  <si>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</si>
  <si>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</si>
  <si>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</si>
  <si>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</si>
  <si>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</si>
  <si>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</si>
  <si>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</si>
  <si>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</si>
  <si>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</si>
  <si>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</si>
  <si>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</si>
  <si>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</si>
  <si>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</si>
  <si>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</si>
  <si>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</si>
  <si>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</si>
  <si>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</si>
  <si>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</si>
  <si>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</si>
  <si>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</si>
  <si>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</si>
  <si>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</si>
  <si>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</si>
  <si>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</si>
  <si>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</si>
  <si>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</si>
  <si>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</si>
  <si>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</si>
  <si>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</si>
  <si>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</si>
  <si>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</si>
  <si>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</si>
  <si>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</si>
  <si>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</si>
  <si>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</si>
  <si>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</si>
  <si>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</si>
  <si>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</si>
  <si>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</si>
  <si>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</si>
  <si>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</si>
  <si>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</si>
  <si>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</si>
  <si>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</si>
  <si>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</si>
  <si>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</si>
  <si>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12. Экономия_корр</t>
  </si>
  <si>
    <t>et_List12_tariff</t>
  </si>
  <si>
    <t>13. Плата за негативное возд</t>
  </si>
  <si>
    <t>et_List13_tariff</t>
  </si>
  <si>
    <r>
      <t>ΔHBB</t>
    </r>
    <r>
      <rPr>
        <b/>
        <vertAlign val="superscript"/>
        <sz val="9"/>
        <color theme="1"/>
        <rFont val="Tahoma"/>
        <family val="2"/>
        <charset val="204"/>
      </rPr>
      <t>K</t>
    </r>
    <r>
      <rPr>
        <b/>
        <vertAlign val="subscript"/>
        <sz val="9"/>
        <color theme="1"/>
        <rFont val="Tahoma"/>
        <family val="2"/>
        <charset val="204"/>
      </rPr>
      <t>i-2</t>
    </r>
  </si>
  <si>
    <r>
      <t>ТВ</t>
    </r>
    <r>
      <rPr>
        <b/>
        <vertAlign val="superscript"/>
        <sz val="9"/>
        <color theme="1"/>
        <rFont val="Tahoma"/>
        <family val="2"/>
        <charset val="204"/>
      </rPr>
      <t>Ф</t>
    </r>
    <r>
      <rPr>
        <b/>
        <vertAlign val="subscript"/>
        <sz val="9"/>
        <color theme="1"/>
        <rFont val="Tahoma"/>
        <family val="2"/>
        <charset val="204"/>
      </rPr>
      <t>i-2</t>
    </r>
  </si>
  <si>
    <r>
      <t>HBB</t>
    </r>
    <r>
      <rPr>
        <b/>
        <vertAlign val="superscript"/>
        <sz val="9"/>
        <color theme="1"/>
        <rFont val="Tahoma"/>
        <family val="2"/>
        <charset val="204"/>
      </rPr>
      <t>Ф</t>
    </r>
    <r>
      <rPr>
        <b/>
        <vertAlign val="subscript"/>
        <sz val="9"/>
        <color theme="1"/>
        <rFont val="Tahoma"/>
        <family val="2"/>
        <charset val="204"/>
      </rPr>
      <t>i-2</t>
    </r>
  </si>
  <si>
    <t>14. Корректировка НВВ</t>
  </si>
  <si>
    <t>et_List14_tariff</t>
  </si>
  <si>
    <t>15. Калькуляция</t>
  </si>
  <si>
    <t>et_List15_tariff</t>
  </si>
  <si>
    <t>16. ТМ</t>
  </si>
  <si>
    <t>et_List16_tariff</t>
  </si>
  <si>
    <t>et_List16_tariff_transp</t>
  </si>
  <si>
    <t>ээ</t>
  </si>
  <si>
    <t>амортизация</t>
  </si>
  <si>
    <t>Пояснения</t>
  </si>
  <si>
    <t>Общие сведения</t>
  </si>
  <si>
    <t>3. Сценарии</t>
  </si>
  <si>
    <t>et_union</t>
  </si>
  <si>
    <t>REESTR_MO</t>
  </si>
  <si>
    <t>REESTR_ORG</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</si>
  <si>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</si>
  <si>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</si>
  <si>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</si>
  <si>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</si>
  <si>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</si>
  <si>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</si>
  <si>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</si>
  <si>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</si>
  <si>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фактическая (расчетная) цена на электрическую энергию, определяемая в i-2 году</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</si>
  <si>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</si>
  <si>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</si>
  <si>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</si>
  <si>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</si>
  <si>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</si>
  <si>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Экспертное заключение об установлении тарифов в сфере холодного водоснабжения/водоотведения методом индексации (корректировка)</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</si>
  <si>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</si>
  <si>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</si>
  <si>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</si>
  <si>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</si>
  <si>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</si>
  <si>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</si>
  <si>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</si>
  <si>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</si>
  <si>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</si>
  <si>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</si>
  <si>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</si>
  <si>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</si>
  <si>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</si>
  <si>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</si>
  <si>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</si>
  <si>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</si>
  <si>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</si>
  <si>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</si>
  <si>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</si>
  <si>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</si>
  <si>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Условное обозначение</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</si>
  <si>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</si>
  <si>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</si>
  <si>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</si>
  <si>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</si>
  <si>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</si>
  <si>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</si>
  <si>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</si>
  <si>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</si>
  <si>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</si>
  <si>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III</t>
  </si>
  <si>
    <t>IV</t>
  </si>
  <si>
    <t>прочие налоги и сборы</t>
  </si>
  <si>
    <t>Тариф корректируется только на период регулирования</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</si>
  <si>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</si>
  <si>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</si>
  <si>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</si>
  <si>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</si>
  <si>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</si>
  <si>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</si>
  <si>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</si>
  <si>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</si>
  <si>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</si>
  <si>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</si>
  <si>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</si>
  <si>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</si>
  <si>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</si>
  <si>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</si>
  <si>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</si>
  <si>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</si>
  <si>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</si>
  <si>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фактический объём поданной воды (принятых сточных вод)</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</si>
  <si>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</si>
  <si>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1.3.3.1</t>
  </si>
  <si>
    <t>1.3.3.2</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</si>
  <si>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</si>
  <si>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</si>
  <si>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</si>
  <si>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</si>
  <si>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</si>
  <si>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</si>
  <si>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</si>
  <si>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расходы по сомнительным долгам для гарантирующей организации</t>
  </si>
  <si>
    <t>экономия средств, достигнутая в результате снижения расходов предыдущего долгосрочного периода регулирования</t>
  </si>
  <si>
    <t>расчетная предпринимательская прибыль гарантирующей организации</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</si>
  <si>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</si>
  <si>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</si>
  <si>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</si>
  <si>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</si>
  <si>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</si>
  <si>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</si>
  <si>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</si>
  <si>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</si>
  <si>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Количество лет корректировки</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</si>
  <si>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</si>
  <si>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</si>
  <si>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</si>
  <si>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</si>
  <si>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</si>
  <si>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</si>
  <si>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</si>
  <si>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</si>
  <si>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</si>
  <si>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</si>
  <si>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</si>
  <si>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</si>
  <si>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</si>
  <si>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</si>
  <si>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17. ДПР</t>
  </si>
  <si>
    <t>18. ДПР (концессии)</t>
  </si>
  <si>
    <t>et_List18_tariff</t>
  </si>
  <si>
    <t>et_List18_block</t>
  </si>
  <si>
    <t>Без разбивки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</si>
  <si>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</si>
  <si>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Размер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</si>
  <si>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ИЭР</t>
  </si>
  <si>
    <t>ИПЦ</t>
  </si>
  <si>
    <t>ИКА</t>
  </si>
  <si>
    <t>ИОР</t>
  </si>
  <si>
    <t>Краткое описание технологического процесса</t>
  </si>
  <si>
    <t>СВФОТ</t>
  </si>
  <si>
    <t>Итого</t>
  </si>
  <si>
    <t>et_List02_1</t>
  </si>
  <si>
    <t>10.1</t>
  </si>
  <si>
    <t>% сглаживания НВВ</t>
  </si>
  <si>
    <t>в том числе инвестиционная (справочно)</t>
  </si>
  <si>
    <t>1.6</t>
  </si>
  <si>
    <t>Реагенты до 2020 года</t>
  </si>
  <si>
    <t>тыс.кВтч</t>
  </si>
  <si>
    <t>modList18</t>
  </si>
  <si>
    <t>Номер тарифа (идентификатор)</t>
  </si>
  <si>
    <t>величина изменения необходимой валовой выручки в году i-2, проводимого в целях сглаживания</t>
  </si>
  <si>
    <t xml:space="preserve"> ΔHBBСi-2</t>
  </si>
  <si>
    <t>ΔHBBKi-4</t>
  </si>
  <si>
    <t>размер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</si>
  <si>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</si>
  <si>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</si>
  <si>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</si>
  <si>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</si>
  <si>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</si>
  <si>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</si>
  <si>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</si>
  <si>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</si>
  <si>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</si>
  <si>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</si>
  <si>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</si>
  <si>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</si>
  <si>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</si>
  <si>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</si>
  <si>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</si>
  <si>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</si>
  <si>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Экономия_корр</t>
  </si>
  <si>
    <t>Плата за негативное возд</t>
  </si>
  <si>
    <t>Корректировка НВВ</t>
  </si>
  <si>
    <t>Калькуляция</t>
  </si>
  <si>
    <t>ТМ</t>
  </si>
  <si>
    <t>ДПР</t>
  </si>
  <si>
    <t>ДПР (концессии)</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</si>
  <si>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</si>
  <si>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</si>
  <si>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</si>
  <si>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</si>
  <si>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</si>
  <si>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</si>
  <si>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</si>
  <si>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10. Амортизация основных средств и нематериальных активов, относимых к объектам централизованной системы водоснабжения/водоотведения</t>
  </si>
  <si>
    <t>11. Аренда</t>
  </si>
  <si>
    <t>12. Расходы на оплату товаров (услуг, работ), приобретаемых у других организаций</t>
  </si>
  <si>
    <t>13. Расшифровка по налогам и платежам</t>
  </si>
  <si>
    <t>14. План и факт по источникам финансирования инвестиционной программы</t>
  </si>
  <si>
    <t>15. Расчет экономии средств, достигнутой в результате снижения расходов предыдущего долгосрочного периода регулирования</t>
  </si>
  <si>
    <t>16. Плата за негативное воздействие на работу централизованных систем водоотведения</t>
  </si>
  <si>
    <t>17. Расчет показателей корректировки необходимой валовой выручки</t>
  </si>
  <si>
    <t>18. Расчет тарифа методом индексации</t>
  </si>
  <si>
    <t>19. Тарифное меню</t>
  </si>
  <si>
    <t>20. Долгосрочные параметры регулирования тарифов</t>
  </si>
  <si>
    <t>21. Долгосрочные параметры регулирования тарифов (концессии)</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</si>
  <si>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</si>
  <si>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</si>
  <si>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</si>
  <si>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</si>
  <si>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</si>
  <si>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</si>
  <si>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</si>
  <si>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</si>
  <si>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</si>
  <si>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</si>
  <si>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</si>
  <si>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</si>
  <si>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</si>
  <si>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</si>
  <si>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</si>
  <si>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</si>
  <si>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</si>
  <si>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</si>
  <si>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</si>
  <si>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</si>
  <si>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</si>
  <si>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</si>
  <si>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</si>
  <si>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</si>
  <si>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</si>
  <si>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</si>
  <si>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</si>
  <si>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</si>
  <si>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</si>
  <si>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</si>
  <si>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</si>
  <si>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</si>
  <si>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</si>
  <si>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</si>
  <si>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</si>
  <si>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Затраты на очистку сточных вод</t>
  </si>
  <si>
    <t>Начислено в соответствии с пунктом 26(1) Основ ценообразования в сфере водоснабжения и водоотведения</t>
  </si>
  <si>
    <t>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t>
  </si>
  <si>
    <t>Заполняется в целом по организации в случае утверждения для такой организации единой инвестиционной программы по всем видам тарифов</t>
  </si>
  <si>
    <t>modList11</t>
  </si>
  <si>
    <t>Организация регулируется впервые</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</si>
  <si>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</si>
  <si>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</si>
  <si>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в части условно-переменных расходов</t>
  </si>
  <si>
    <t>в части условно-постоянных расходов</t>
  </si>
  <si>
    <t>REESTR_TARIFF</t>
  </si>
  <si>
    <t>modfrmSelectTariff</t>
  </si>
  <si>
    <t>2.1.10</t>
  </si>
  <si>
    <t>услуги по очистке сточных вод</t>
  </si>
  <si>
    <t>Итого НВВ для населения</t>
  </si>
  <si>
    <t>1.4.7.1</t>
  </si>
  <si>
    <t>1.4.7.2</t>
  </si>
  <si>
    <t>et_List17_tariff_vs</t>
  </si>
  <si>
    <t>et_List17_tariff_vo</t>
  </si>
  <si>
    <t>9.0</t>
  </si>
  <si>
    <t>et_List09_org5</t>
  </si>
  <si>
    <t>5.0</t>
  </si>
  <si>
    <t>Объём пропущенных стоков (очистка)</t>
  </si>
  <si>
    <t>Тариф на очистку стоков</t>
  </si>
  <si>
    <t>без дифференциации</t>
  </si>
  <si>
    <t>жидкие бытовые отходы</t>
  </si>
  <si>
    <t>поверхностные сточные воды</t>
  </si>
  <si>
    <t>хозяйственно-бытовые сточные воды</t>
  </si>
  <si>
    <t>сточные воды (нормативы)</t>
  </si>
  <si>
    <t>сточные воды (иные)</t>
  </si>
  <si>
    <t>16. Плата за негативное воздействие на работу централизованных систем водоотведения (принято органом регулирования)</t>
  </si>
  <si>
    <t>1.7</t>
  </si>
  <si>
    <t>Операционные расходы по концессионным соглашениям</t>
  </si>
  <si>
    <t>1.7.0</t>
  </si>
  <si>
    <t>et_List15_1</t>
  </si>
  <si>
    <t>1.7.1</t>
  </si>
  <si>
    <t>* данные без НДС</t>
  </si>
  <si>
    <t>Служба по тарифам Астраханской области</t>
  </si>
  <si>
    <t>Управление по тарифам города Севастополя</t>
  </si>
  <si>
    <t>Департамент государственного регулирования тарифов Краснодарского края</t>
  </si>
  <si>
    <t>Департамент по регулированию тарифов и энергосбережению Пензенской области</t>
  </si>
  <si>
    <t>Государственная жилищная инспекция Республики Ингушетия</t>
  </si>
  <si>
    <t>COLDVSNA_VTOV;COLDVSNA_TRANSP_VTOV</t>
  </si>
  <si>
    <t>горячая вода</t>
  </si>
  <si>
    <t>Плата за негативное воздействие на окружающую среду</t>
  </si>
  <si>
    <t>Единый налог при упрощенной системе налогообложения</t>
  </si>
  <si>
    <t>о</t>
  </si>
  <si>
    <t>д</t>
  </si>
  <si>
    <t>т</t>
  </si>
  <si>
    <t>et_List16_line_o</t>
  </si>
  <si>
    <t>Объём реализации услуги</t>
  </si>
  <si>
    <t>et_List16_line_d</t>
  </si>
  <si>
    <t>et_List16_line_transp</t>
  </si>
  <si>
    <t>STATUS_GO</t>
  </si>
  <si>
    <t>HAS_DOC2</t>
  </si>
  <si>
    <t>HAS_DOC3</t>
  </si>
  <si>
    <t>HAS_DOC4</t>
  </si>
  <si>
    <t>HAS_DOC5</t>
  </si>
  <si>
    <t>HAS_DOC6</t>
  </si>
  <si>
    <t>HAS_DOC7</t>
  </si>
  <si>
    <t>et_List00_go</t>
  </si>
  <si>
    <t>et_List00_HAS_DOC2</t>
  </si>
  <si>
    <t>et_List00_HAS_DOC3</t>
  </si>
  <si>
    <t>et_List00_HAS_DOC4</t>
  </si>
  <si>
    <t>et_List00_HAS_DOC5</t>
  </si>
  <si>
    <t>et_List00_HAS_DOC6</t>
  </si>
  <si>
    <t>et_List00_HAS_DOC7</t>
  </si>
  <si>
    <t>et_List00_fio</t>
  </si>
  <si>
    <t>Расходы на мероприятия по защите централизованных систем водоснабжения</t>
  </si>
  <si>
    <t>Расходы концессионера на осуществление государственного кадастрового учета</t>
  </si>
  <si>
    <t>иные экономически обоснованные расходы на социальные нужды</t>
  </si>
  <si>
    <t>Затраты на электроэнергию</t>
  </si>
  <si>
    <t>Затраты на электрическую мощность</t>
  </si>
  <si>
    <t>modList15</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</si>
  <si>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</si>
  <si>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</si>
  <si>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</si>
  <si>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</si>
  <si>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</si>
  <si>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</si>
  <si>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</si>
  <si>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</si>
  <si>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</si>
  <si>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</si>
  <si>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</si>
  <si>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</si>
  <si>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</si>
  <si>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</si>
  <si>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</si>
  <si>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</si>
  <si>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</si>
  <si>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</si>
  <si>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</si>
  <si>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</si>
  <si>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</si>
  <si>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</si>
  <si>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</si>
  <si>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</si>
  <si>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</si>
  <si>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</si>
  <si>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</si>
  <si>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</si>
  <si>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</si>
  <si>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</si>
  <si>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Комитет Республики Коми по тарифам</t>
  </si>
  <si>
    <t xml:space="preserve">тыс.руб. </t>
  </si>
  <si>
    <t>1.4.7.3</t>
  </si>
  <si>
    <t>иные расходы</t>
  </si>
  <si>
    <t>1.4.1.7</t>
  </si>
  <si>
    <t>иные работы и (или) услуги</t>
  </si>
  <si>
    <t>1.2.5.7</t>
  </si>
  <si>
    <t>иные производственные расходы</t>
  </si>
  <si>
    <t>L4_14</t>
  </si>
  <si>
    <t>L1</t>
  </si>
  <si>
    <t>L1_1</t>
  </si>
  <si>
    <t>L1_2</t>
  </si>
  <si>
    <t>L1_2_1</t>
  </si>
  <si>
    <t>L1_2_2</t>
  </si>
  <si>
    <t>L1_2_2_1</t>
  </si>
  <si>
    <t>L1_2_2_2</t>
  </si>
  <si>
    <t>L1_2_2_3</t>
  </si>
  <si>
    <t>L1_2_2_4</t>
  </si>
  <si>
    <t>L1_2_2_5</t>
  </si>
  <si>
    <t>L1_2_2_6</t>
  </si>
  <si>
    <t>L1_2_2_7</t>
  </si>
  <si>
    <t>L1_2_2_8</t>
  </si>
  <si>
    <t>L1_2_2_9</t>
  </si>
  <si>
    <t>L1_2_2_10</t>
  </si>
  <si>
    <t>L1_2_2_11</t>
  </si>
  <si>
    <t>L1_2_3</t>
  </si>
  <si>
    <t>L1_2_3_1</t>
  </si>
  <si>
    <t>L1_2_3_2</t>
  </si>
  <si>
    <t>L1_2_3_3</t>
  </si>
  <si>
    <t>L1_2_4</t>
  </si>
  <si>
    <t>L1_2_5</t>
  </si>
  <si>
    <t>L1_2_6</t>
  </si>
  <si>
    <t>L1_2_7_0</t>
  </si>
  <si>
    <t>размер корректировки необходимой валовой выручки, учтенной при регулирования на год i-2</t>
  </si>
  <si>
    <t>L1_2_7</t>
  </si>
  <si>
    <t>2.7.1</t>
  </si>
  <si>
    <t>L1_2_8</t>
  </si>
  <si>
    <t>2.7.2</t>
  </si>
  <si>
    <t>L1_2_10</t>
  </si>
  <si>
    <t>2.7.3</t>
  </si>
  <si>
    <t>L1_2_9</t>
  </si>
  <si>
    <t>L2</t>
  </si>
  <si>
    <t>L2_1</t>
  </si>
  <si>
    <t>L2_1_1</t>
  </si>
  <si>
    <t>L2_1_2</t>
  </si>
  <si>
    <t>L3</t>
  </si>
  <si>
    <r>
      <t>ΔИ</t>
    </r>
    <r>
      <rPr>
        <vertAlign val="subscript"/>
        <sz val="9"/>
        <color theme="1"/>
        <rFont val="Tahoma"/>
        <family val="2"/>
        <charset val="204"/>
      </rPr>
      <t>i-2</t>
    </r>
  </si>
  <si>
    <t>L4</t>
  </si>
  <si>
    <r>
      <t>ΔЦП</t>
    </r>
    <r>
      <rPr>
        <vertAlign val="subscript"/>
        <sz val="9"/>
        <color theme="1"/>
        <rFont val="Tahoma"/>
        <family val="2"/>
        <charset val="204"/>
      </rPr>
      <t>i-2</t>
    </r>
  </si>
  <si>
    <t>L5</t>
  </si>
  <si>
    <t>V</t>
  </si>
  <si>
    <t>L6</t>
  </si>
  <si>
    <t>VI</t>
  </si>
  <si>
    <t>L7</t>
  </si>
  <si>
    <t>VII</t>
  </si>
  <si>
    <t>L8</t>
  </si>
  <si>
    <t>VIII</t>
  </si>
  <si>
    <t>L8_1</t>
  </si>
  <si>
    <t>L8_2</t>
  </si>
  <si>
    <t>L9</t>
  </si>
  <si>
    <t>IX</t>
  </si>
  <si>
    <t>L10</t>
  </si>
  <si>
    <t>X</t>
  </si>
  <si>
    <t>L11</t>
  </si>
  <si>
    <t>XI</t>
  </si>
  <si>
    <t>Корректировка НВВ всего</t>
  </si>
  <si>
    <t>L7_0</t>
  </si>
  <si>
    <t>Справочно в том числе:</t>
  </si>
  <si>
    <t>L12</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</si>
  <si>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пунктом 26(1) Основ ценообразования в сфере водоснабжения и водоотведения)</t>
  </si>
  <si>
    <t>L13</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</si>
  <si>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организации (в соответствии с пунктом 26(1) Основ ценообразования в сфере водоснабжения и водоотведения)</t>
  </si>
  <si>
    <t>L14</t>
  </si>
  <si>
    <t>7.6</t>
  </si>
  <si>
    <t>L15</t>
  </si>
  <si>
    <t>7.7</t>
  </si>
  <si>
    <t>L15_1</t>
  </si>
  <si>
    <t>7.7.1</t>
  </si>
  <si>
    <t>L15_2</t>
  </si>
  <si>
    <t>7.7.2</t>
  </si>
  <si>
    <t>L16</t>
  </si>
  <si>
    <t>7.8</t>
  </si>
  <si>
    <t>L17</t>
  </si>
  <si>
    <t>7.9</t>
  </si>
  <si>
    <t>L10_1</t>
  </si>
  <si>
    <t>L18</t>
  </si>
  <si>
    <t>L18_1</t>
  </si>
  <si>
    <t>L18_2</t>
  </si>
  <si>
    <t>L19</t>
  </si>
  <si>
    <t>L19_1</t>
  </si>
  <si>
    <t>11.1</t>
  </si>
  <si>
    <t>L19_2</t>
  </si>
  <si>
    <t>11.2</t>
  </si>
  <si>
    <t>L19_3</t>
  </si>
  <si>
    <t>11.3</t>
  </si>
  <si>
    <t>L19_4</t>
  </si>
  <si>
    <t>11.4</t>
  </si>
  <si>
    <t>L19_5</t>
  </si>
  <si>
    <t>11.5</t>
  </si>
  <si>
    <t>L19_6</t>
  </si>
  <si>
    <t>11.6</t>
  </si>
  <si>
    <t>L20</t>
  </si>
  <si>
    <t>L21</t>
  </si>
  <si>
    <t>L21_1</t>
  </si>
  <si>
    <t>13.1</t>
  </si>
  <si>
    <t>L21_2</t>
  </si>
  <si>
    <t>13.2</t>
  </si>
  <si>
    <t>L21_3</t>
  </si>
  <si>
    <t>13.3</t>
  </si>
  <si>
    <t>L21_4</t>
  </si>
  <si>
    <t>13.4</t>
  </si>
  <si>
    <t>L1_2_1_1</t>
  </si>
  <si>
    <t>L1_2_1_2</t>
  </si>
  <si>
    <t>ПП</t>
  </si>
  <si>
    <t>СОЦ_ПП</t>
  </si>
  <si>
    <t>L1_2_5_1</t>
  </si>
  <si>
    <t>L1_2_5_2</t>
  </si>
  <si>
    <t>L1_2_5_3</t>
  </si>
  <si>
    <t>L1_2_5_4</t>
  </si>
  <si>
    <t>L1_2_5_5</t>
  </si>
  <si>
    <t>L1_2_5_6</t>
  </si>
  <si>
    <t>L1_2_5_7</t>
  </si>
  <si>
    <t>L1_3</t>
  </si>
  <si>
    <t>L1_3_1</t>
  </si>
  <si>
    <t>L1_3_2</t>
  </si>
  <si>
    <t>L1_3_3</t>
  </si>
  <si>
    <t>РП</t>
  </si>
  <si>
    <t>L1_3_3_1</t>
  </si>
  <si>
    <t>СОЦ_РП</t>
  </si>
  <si>
    <t>L1_3_3_2</t>
  </si>
  <si>
    <t>L1_4</t>
  </si>
  <si>
    <t>p3</t>
  </si>
  <si>
    <t>L1_4_1</t>
  </si>
  <si>
    <t>p3_1</t>
  </si>
  <si>
    <t>L1_4_1_1</t>
  </si>
  <si>
    <t>p3_2</t>
  </si>
  <si>
    <t>L1_4_1_2</t>
  </si>
  <si>
    <t>p3_3</t>
  </si>
  <si>
    <t>L1_4_1_3</t>
  </si>
  <si>
    <t>p3_4</t>
  </si>
  <si>
    <t>L1_4_1_4</t>
  </si>
  <si>
    <t>p3_5</t>
  </si>
  <si>
    <t>L1_4_1_5</t>
  </si>
  <si>
    <t>p3_6</t>
  </si>
  <si>
    <t>L1_4_1_6</t>
  </si>
  <si>
    <t>p3_7</t>
  </si>
  <si>
    <t>L1_4_1_7</t>
  </si>
  <si>
    <t>L1_4_2</t>
  </si>
  <si>
    <t>АУП</t>
  </si>
  <si>
    <t>L1_4_2_1</t>
  </si>
  <si>
    <t>СОЦ_АУП</t>
  </si>
  <si>
    <t>L1_4_2_2</t>
  </si>
  <si>
    <t>p4</t>
  </si>
  <si>
    <t>L1_4_3</t>
  </si>
  <si>
    <t>p5</t>
  </si>
  <si>
    <t>L1_4_4</t>
  </si>
  <si>
    <t>p6</t>
  </si>
  <si>
    <t>L1_4_5</t>
  </si>
  <si>
    <t>p7</t>
  </si>
  <si>
    <t>L1_4_6</t>
  </si>
  <si>
    <t>p8</t>
  </si>
  <si>
    <t>L1_4_7</t>
  </si>
  <si>
    <t>p8_1</t>
  </si>
  <si>
    <t>L1_4_7_1</t>
  </si>
  <si>
    <t>p8_2</t>
  </si>
  <si>
    <t>L1_4_7_2</t>
  </si>
  <si>
    <t>p8_3</t>
  </si>
  <si>
    <t>L1_4_7_3</t>
  </si>
  <si>
    <t>L1_5</t>
  </si>
  <si>
    <t>L1_6</t>
  </si>
  <si>
    <t>L1_7</t>
  </si>
  <si>
    <t>L2_1_3</t>
  </si>
  <si>
    <t>L2_1_4</t>
  </si>
  <si>
    <t>L2_1_5</t>
  </si>
  <si>
    <t>L2_1_6</t>
  </si>
  <si>
    <t>L2_1_7</t>
  </si>
  <si>
    <t>L2_1_8</t>
  </si>
  <si>
    <t>L2_1_9</t>
  </si>
  <si>
    <t>L2_1_10</t>
  </si>
  <si>
    <t>L2_2</t>
  </si>
  <si>
    <t>L2_3</t>
  </si>
  <si>
    <t>L2_3_1</t>
  </si>
  <si>
    <t>L2_3_2</t>
  </si>
  <si>
    <t>L2_3_3</t>
  </si>
  <si>
    <t>L2_3_4</t>
  </si>
  <si>
    <t>L2_3_5</t>
  </si>
  <si>
    <t>L2_3_6</t>
  </si>
  <si>
    <t>L2_3_7</t>
  </si>
  <si>
    <t>L2_3_8</t>
  </si>
  <si>
    <t>L2_3_9</t>
  </si>
  <si>
    <t>L2_4</t>
  </si>
  <si>
    <t>L2_5</t>
  </si>
  <si>
    <t>L2_6</t>
  </si>
  <si>
    <t>L2_6_1</t>
  </si>
  <si>
    <t>L2_7</t>
  </si>
  <si>
    <t>L2_8</t>
  </si>
  <si>
    <t>L2_9</t>
  </si>
  <si>
    <t>L2_10</t>
  </si>
  <si>
    <t>L2_10_1</t>
  </si>
  <si>
    <t>L2_10_2</t>
  </si>
  <si>
    <t>L2_11</t>
  </si>
  <si>
    <t>L4_1</t>
  </si>
  <si>
    <t>L5_1</t>
  </si>
  <si>
    <t>L5_2</t>
  </si>
  <si>
    <t>L5_3</t>
  </si>
  <si>
    <t>L5_4</t>
  </si>
  <si>
    <t>для прочих потребителей с 01.01 по 30.06 без НДС</t>
  </si>
  <si>
    <t>для прочих потребителей с 01.07 по 31.12 без НДС</t>
  </si>
  <si>
    <t>для прочих потребителей без НДС</t>
  </si>
  <si>
    <t>для населения с 01.01 по 30.06 с НДС</t>
  </si>
  <si>
    <t>для населения с 01.07 по 31.12 с НДС</t>
  </si>
  <si>
    <t>для населения с НДС</t>
  </si>
  <si>
    <t>с 01.01 по 30.06 без НДС</t>
  </si>
  <si>
    <t>с 01.07 по 31.12 без НДС</t>
  </si>
  <si>
    <t xml:space="preserve">Тип муниципального образования </t>
  </si>
  <si>
    <t>расходы на оплату труда и страховые взносы на обязательное социальное страхование основного производственного персонала, в том числе:</t>
  </si>
  <si>
    <t>страховые взносы на обязательное социальное страхование основного производственного персонала</t>
  </si>
  <si>
    <t>расходы на оплату труда и страховые взносы на обязательное социальное страхование ремонтного персонала, в том числе:</t>
  </si>
  <si>
    <t>страховые взносы на обязательное социальное страхование ремонтного персонала</t>
  </si>
  <si>
    <t>расходы на оплату труда и страховые взносы на обязательное социальное страхование административно-управленческого персонала, в том числе:</t>
  </si>
  <si>
    <t>страховые взносы на обязательное социальное страхование административно-управленческого персонала</t>
  </si>
  <si>
    <t>Удельный расход ЭЭ делится по технологическим процессам</t>
  </si>
  <si>
    <t>L4_2</t>
  </si>
  <si>
    <t>L4_2_1</t>
  </si>
  <si>
    <t>L4_2_2</t>
  </si>
  <si>
    <t>L4_2_3</t>
  </si>
  <si>
    <t>L4_2_4</t>
  </si>
  <si>
    <t>удельный расход ЭЭ, потребляемой в процессе подготовки воды</t>
  </si>
  <si>
    <t>удельный расход ЭЭ, потребляемой в процессе транспортировки воды</t>
  </si>
  <si>
    <t>удельный расход ЭЭ, потребляемой в процессе очистки сточных вод</t>
  </si>
  <si>
    <t>удельный расход ЭЭ, потребляемой в процессе транспортировки сточных вод</t>
  </si>
  <si>
    <t>L2_12</t>
  </si>
  <si>
    <t>L2_13</t>
  </si>
  <si>
    <t>L2_14</t>
  </si>
  <si>
    <t>L2_15</t>
  </si>
  <si>
    <t>L3_1</t>
  </si>
  <si>
    <t>L3_2</t>
  </si>
  <si>
    <t>L3_3</t>
  </si>
  <si>
    <t>L4_3</t>
  </si>
  <si>
    <t>L4_4</t>
  </si>
  <si>
    <t>L4_6</t>
  </si>
  <si>
    <t>L4_7</t>
  </si>
  <si>
    <t>L4_8</t>
  </si>
  <si>
    <t>L4_9</t>
  </si>
  <si>
    <t>L4_10</t>
  </si>
  <si>
    <t>L4_11</t>
  </si>
  <si>
    <t>L4_12</t>
  </si>
  <si>
    <t>L4_13</t>
  </si>
  <si>
    <t>L6_1</t>
  </si>
  <si>
    <t>L6_2</t>
  </si>
  <si>
    <t>L6_3</t>
  </si>
  <si>
    <t>L6_4</t>
  </si>
  <si>
    <t>L7_2</t>
  </si>
  <si>
    <t>L7_3</t>
  </si>
  <si>
    <t>L7_4</t>
  </si>
  <si>
    <t>L7_5</t>
  </si>
  <si>
    <t>L7_6</t>
  </si>
  <si>
    <t>Не определено</t>
  </si>
  <si>
    <t>Вид документа</t>
  </si>
  <si>
    <t>Номер документа</t>
  </si>
  <si>
    <t>Дата документа</t>
  </si>
  <si>
    <t>L1_1_1</t>
  </si>
  <si>
    <t>L1_1_2</t>
  </si>
  <si>
    <t>L1_1_3</t>
  </si>
  <si>
    <t>L1_1_4</t>
  </si>
  <si>
    <t>Направлено на внесение платы за негативное воздействие на окружающую среду</t>
  </si>
  <si>
    <t>L3_1_1</t>
  </si>
  <si>
    <t>L3_1_2</t>
  </si>
  <si>
    <t>L3_2_1</t>
  </si>
  <si>
    <t>L3_2_2</t>
  </si>
  <si>
    <t>L8_3</t>
  </si>
  <si>
    <t>L9_1</t>
  </si>
  <si>
    <t>L10_1_1</t>
  </si>
  <si>
    <t>L10_1_2</t>
  </si>
  <si>
    <t>L10_1_3</t>
  </si>
  <si>
    <t>L10_2</t>
  </si>
  <si>
    <t>L10_2_1</t>
  </si>
  <si>
    <t>L10_2_2</t>
  </si>
  <si>
    <t>L10_3</t>
  </si>
  <si>
    <t>L10_3_1</t>
  </si>
  <si>
    <t>L10_3_1_1</t>
  </si>
  <si>
    <t>L10_3_1_2</t>
  </si>
  <si>
    <t>L10_3_2</t>
  </si>
  <si>
    <t>L10_3_2_1</t>
  </si>
  <si>
    <t>L10_3_2_2</t>
  </si>
  <si>
    <t>L10_3_3</t>
  </si>
  <si>
    <t>L10_3_3_1</t>
  </si>
  <si>
    <t>L10_3_3_2</t>
  </si>
  <si>
    <t>L10_4</t>
  </si>
  <si>
    <t>L7_1</t>
  </si>
  <si>
    <t>L6_1_1</t>
  </si>
  <si>
    <t>L6_1_2</t>
  </si>
  <si>
    <t>L6_2_1</t>
  </si>
  <si>
    <t>L6_2_2</t>
  </si>
  <si>
    <t>L6_3_1</t>
  </si>
  <si>
    <t>L6_3_2</t>
  </si>
  <si>
    <t>L6_4_1</t>
  </si>
  <si>
    <t>L6_4_2</t>
  </si>
  <si>
    <t>L6_5</t>
  </si>
  <si>
    <t>L5_2_1</t>
  </si>
  <si>
    <t>L5_2_2</t>
  </si>
  <si>
    <t>L7_1_1</t>
  </si>
  <si>
    <t>L7_1_2</t>
  </si>
  <si>
    <t>L7_2_1</t>
  </si>
  <si>
    <t>L7_2_2</t>
  </si>
  <si>
    <t>L3_4</t>
  </si>
  <si>
    <t>L3_5</t>
  </si>
  <si>
    <t>L4_5</t>
  </si>
  <si>
    <t>L5_5</t>
  </si>
  <si>
    <t>L8_4</t>
  </si>
  <si>
    <t>L8_5</t>
  </si>
  <si>
    <t>L0</t>
  </si>
  <si>
    <t>REESTR_OBJECT</t>
  </si>
  <si>
    <t>modfrmReestrSource</t>
  </si>
  <si>
    <t>modfrmDPR</t>
  </si>
  <si>
    <t>modfrmSelectTemplate</t>
  </si>
  <si>
    <t>DICTIONARIES</t>
  </si>
  <si>
    <t>modPreload</t>
  </si>
  <si>
    <t>modList17</t>
  </si>
  <si>
    <t>Полезный отпуск рассчитывается с учётом собственных нужд предприятия 
(п.10.1 баланса ВС и п.6 баланса ВО)</t>
  </si>
  <si>
    <t>Проверка доступных обновлений...</t>
  </si>
  <si>
    <t>Информация</t>
  </si>
  <si>
    <t>Нет доступных обновлений для отчёта с кодом EXPERT.VSVO.INDEX.CORR!</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</si>
  <si>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</si>
  <si>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</si>
  <si>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</si>
  <si>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</si>
  <si>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</si>
  <si>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</si>
  <si>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</si>
  <si>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</si>
  <si>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</si>
  <si>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</si>
  <si>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</si>
  <si>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</si>
  <si>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</si>
  <si>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</si>
  <si>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</si>
  <si>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</si>
  <si>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</si>
  <si>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</si>
  <si>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</si>
  <si>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</si>
  <si>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</si>
  <si>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</si>
  <si>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</si>
  <si>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АГЕНТСТВО ПО РЕГУЛИРОВАНИЮ ЦЕН И ТАРИФОВ УЛЬЯНОВСКОЙ ОБЛАСТИ</t>
  </si>
  <si>
    <t>7325169757</t>
  </si>
  <si>
    <t>732501001</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</si>
  <si>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</si>
  <si>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</si>
  <si>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</si>
  <si>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</si>
  <si>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</si>
  <si>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</si>
  <si>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</si>
  <si>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</si>
  <si>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</si>
  <si>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</si>
  <si>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</si>
  <si>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</si>
  <si>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</si>
  <si>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</si>
  <si>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</si>
  <si>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</si>
  <si>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</si>
  <si>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</si>
  <si>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</si>
  <si>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</si>
  <si>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</si>
  <si>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</si>
  <si>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</si>
  <si>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</si>
  <si>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</si>
  <si>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</si>
  <si>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</si>
  <si>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</si>
  <si>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</si>
  <si>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</si>
  <si>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</si>
  <si>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</si>
  <si>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</si>
  <si>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</si>
  <si>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</si>
  <si>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</si>
  <si>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</si>
  <si>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</si>
  <si>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</si>
  <si>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</si>
  <si>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</si>
  <si>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</si>
  <si>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</si>
  <si>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</si>
  <si>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</si>
  <si>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</si>
  <si>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</si>
  <si>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</si>
  <si>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</si>
  <si>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</si>
  <si>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</si>
  <si>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</si>
  <si>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</si>
  <si>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</si>
  <si>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</si>
  <si>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</si>
  <si>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</si>
  <si>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</si>
  <si>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</si>
  <si>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</si>
  <si>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</si>
  <si>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</si>
  <si>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</si>
  <si>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</si>
  <si>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</si>
  <si>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</si>
  <si>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</si>
  <si>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</si>
  <si>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</si>
  <si>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</si>
  <si>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</si>
  <si>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</si>
  <si>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</si>
  <si>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</si>
  <si>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</si>
  <si>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</si>
  <si>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</si>
  <si>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</si>
  <si>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</si>
  <si>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</si>
  <si>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</si>
  <si>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</si>
  <si>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</si>
  <si>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</si>
  <si>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</si>
  <si>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</si>
  <si>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</si>
  <si>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</si>
  <si>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</si>
  <si>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</si>
  <si>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</si>
  <si>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</si>
  <si>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</si>
  <si>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</si>
  <si>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</si>
  <si>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</si>
  <si>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</si>
  <si>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</si>
  <si>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</si>
  <si>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</si>
  <si>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</si>
  <si>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</si>
  <si>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</si>
  <si>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</si>
  <si>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</si>
  <si>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</si>
  <si>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</si>
  <si>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</si>
  <si>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</si>
  <si>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</si>
  <si>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</si>
  <si>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</si>
  <si>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</si>
  <si>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</si>
  <si>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</si>
  <si>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</si>
  <si>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</si>
  <si>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</si>
  <si>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</si>
  <si>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</si>
  <si>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</si>
  <si>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</si>
  <si>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</si>
  <si>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</si>
  <si>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</si>
  <si>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</si>
  <si>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</si>
  <si>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</si>
  <si>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</si>
  <si>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</si>
  <si>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</si>
  <si>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</si>
  <si>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</si>
  <si>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</si>
  <si>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</si>
  <si>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</si>
  <si>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</si>
  <si>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</si>
  <si>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</si>
  <si>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</si>
  <si>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</si>
  <si>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</si>
  <si>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</si>
  <si>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</si>
  <si>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</si>
  <si>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</si>
  <si>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</si>
  <si>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</si>
  <si>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</si>
  <si>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</si>
  <si>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20-10-2023 00:00:00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</si>
  <si>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</si>
  <si>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</si>
  <si>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</si>
  <si>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</si>
  <si>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</si>
  <si>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</si>
  <si>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</si>
  <si>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</si>
  <si>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</si>
  <si>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</si>
  <si>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</si>
  <si>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</si>
  <si>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</si>
  <si>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</si>
  <si>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</si>
  <si>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</si>
  <si>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</si>
  <si>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</si>
  <si>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</si>
  <si>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</si>
  <si>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</si>
  <si>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</si>
  <si>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</si>
  <si>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</si>
  <si>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</si>
  <si>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</si>
  <si>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</si>
  <si>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</si>
  <si>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</si>
  <si>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</si>
  <si>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</si>
  <si>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</si>
  <si>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</si>
  <si>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</si>
  <si>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</si>
  <si>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</si>
  <si>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</si>
  <si>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</si>
  <si>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</si>
  <si>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</si>
  <si>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</si>
  <si>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</si>
  <si>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</si>
  <si>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</si>
  <si>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</si>
  <si>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</si>
  <si>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15-09-2023 00:00:00</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</si>
  <si>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</si>
  <si>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</si>
  <si>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</si>
  <si>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</si>
  <si>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</si>
  <si>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</si>
  <si>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</si>
  <si>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</si>
  <si>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</si>
  <si>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</si>
  <si>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</si>
  <si>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</si>
  <si>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</si>
  <si>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</si>
  <si>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</si>
  <si>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</si>
  <si>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</si>
  <si>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</si>
  <si>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</si>
  <si>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</si>
  <si>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</si>
  <si>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</si>
  <si>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</si>
  <si>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</si>
  <si>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</si>
  <si>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</si>
  <si>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</si>
  <si>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</si>
  <si>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</si>
  <si>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</si>
  <si>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</si>
  <si>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</si>
  <si>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</si>
  <si>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</si>
  <si>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</si>
  <si>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</si>
  <si>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</si>
  <si>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</si>
  <si>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</si>
  <si>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</si>
  <si>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</si>
  <si>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</si>
  <si>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</si>
  <si>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</si>
  <si>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</si>
  <si>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</si>
  <si>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</si>
  <si>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</si>
  <si>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</si>
  <si>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</si>
  <si>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</si>
  <si>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</si>
  <si>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</si>
  <si>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</si>
  <si>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</si>
  <si>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</si>
  <si>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</si>
  <si>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</si>
  <si>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</si>
  <si>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</si>
  <si>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</si>
  <si>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</si>
  <si>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</si>
  <si>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</si>
  <si>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</si>
  <si>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</si>
  <si>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</si>
  <si>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</si>
  <si>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</si>
  <si>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</si>
  <si>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</si>
  <si>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</si>
  <si>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</si>
  <si>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</si>
  <si>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</si>
  <si>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</si>
  <si>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</si>
  <si>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</si>
  <si>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</si>
  <si>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</si>
  <si>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</si>
  <si>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</si>
  <si>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</si>
  <si>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</si>
  <si>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</si>
  <si>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</si>
  <si>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</si>
  <si>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</si>
  <si>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</si>
  <si>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</si>
  <si>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</si>
  <si>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</si>
  <si>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</si>
  <si>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</si>
  <si>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</si>
  <si>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</si>
  <si>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</si>
  <si>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</si>
  <si>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</si>
  <si>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</si>
  <si>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</si>
  <si>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</si>
  <si>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</si>
  <si>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</si>
  <si>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</si>
  <si>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</si>
  <si>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</si>
  <si>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</si>
  <si>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</si>
  <si>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</si>
  <si>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</si>
  <si>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</si>
  <si>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</si>
  <si>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</si>
  <si>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</si>
  <si>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</si>
  <si>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</si>
  <si>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</si>
  <si>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</si>
  <si>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</si>
  <si>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</si>
  <si>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</si>
  <si>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</si>
  <si>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</si>
  <si>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</si>
  <si>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</si>
  <si>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</si>
  <si>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</si>
  <si>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</si>
  <si>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</si>
  <si>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</si>
  <si>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</si>
  <si>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</si>
  <si>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</si>
  <si>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</si>
  <si>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</si>
  <si>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</si>
  <si>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</si>
  <si>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</si>
  <si>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</si>
  <si>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</si>
  <si>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</si>
  <si>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</si>
  <si>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</si>
  <si>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</si>
  <si>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</si>
  <si>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</si>
  <si>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</si>
  <si>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</si>
  <si>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</si>
  <si>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</si>
  <si>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</si>
  <si>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</si>
  <si>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</si>
  <si>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</si>
  <si>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</si>
  <si>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</si>
  <si>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</si>
  <si>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</si>
  <si>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</si>
  <si>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</si>
  <si>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</si>
  <si>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</si>
  <si>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</si>
  <si>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</si>
  <si>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</si>
  <si>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</si>
  <si>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</si>
  <si>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26541422</t>
  </si>
  <si>
    <t>ООО "Водолей"</t>
  </si>
  <si>
    <t>7310106419</t>
  </si>
  <si>
    <t>731200100</t>
  </si>
  <si>
    <t>30-12-2009 00:00:00</t>
  </si>
  <si>
    <t>26375381</t>
  </si>
  <si>
    <t>7306038036</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</si>
  <si>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</si>
  <si>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</si>
  <si>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</si>
  <si>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</si>
  <si>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</si>
  <si>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</si>
  <si>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</si>
  <si>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</si>
  <si>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</si>
  <si>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</si>
  <si>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</si>
  <si>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</si>
  <si>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</si>
  <si>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</si>
  <si>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</si>
  <si>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</si>
  <si>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</si>
  <si>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</si>
  <si>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</si>
  <si>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</si>
  <si>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</si>
  <si>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</si>
  <si>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</si>
  <si>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</si>
  <si>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</si>
  <si>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</si>
  <si>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</si>
  <si>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</si>
  <si>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</si>
  <si>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</si>
  <si>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</si>
  <si>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</si>
  <si>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</si>
  <si>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</si>
  <si>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</si>
  <si>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</si>
  <si>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</si>
  <si>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</si>
  <si>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</si>
  <si>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</si>
  <si>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</si>
  <si>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</si>
  <si>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</si>
  <si>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</si>
  <si>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</si>
  <si>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</si>
  <si>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</si>
  <si>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</si>
  <si>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</si>
  <si>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</si>
  <si>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</si>
  <si>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</si>
  <si>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</si>
  <si>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</si>
  <si>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</si>
  <si>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</si>
  <si>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</si>
  <si>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</si>
  <si>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</si>
  <si>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</si>
  <si>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</si>
  <si>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</si>
  <si>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</si>
  <si>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</si>
  <si>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</si>
  <si>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</si>
  <si>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</si>
  <si>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</si>
  <si>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</si>
  <si>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</si>
  <si>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</si>
  <si>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</si>
  <si>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</si>
  <si>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</si>
  <si>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</si>
  <si>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</si>
  <si>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</si>
  <si>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</si>
  <si>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</si>
  <si>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</si>
  <si>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</si>
  <si>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</si>
  <si>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</si>
  <si>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</si>
  <si>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</si>
  <si>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</si>
  <si>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</si>
  <si>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</si>
  <si>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</si>
  <si>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</si>
  <si>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</si>
  <si>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</si>
  <si>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</si>
  <si>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</si>
  <si>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</si>
  <si>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</si>
  <si>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</si>
  <si>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</si>
  <si>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</si>
  <si>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</si>
  <si>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</si>
  <si>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</si>
  <si>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</si>
  <si>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</si>
  <si>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</si>
  <si>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</si>
  <si>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</si>
  <si>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</si>
  <si>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</si>
  <si>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</si>
  <si>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</si>
  <si>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</si>
  <si>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</si>
  <si>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</si>
  <si>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</si>
  <si>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</si>
  <si>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</si>
  <si>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</si>
  <si>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</si>
  <si>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</si>
  <si>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</si>
  <si>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</si>
  <si>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</si>
  <si>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</si>
  <si>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</si>
  <si>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</si>
  <si>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</si>
  <si>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</si>
  <si>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</si>
  <si>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</si>
  <si>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</si>
  <si>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</si>
  <si>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</si>
  <si>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</si>
  <si>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</si>
  <si>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</si>
  <si>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</si>
  <si>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</si>
  <si>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</si>
  <si>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</si>
  <si>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</si>
  <si>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</si>
  <si>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</si>
  <si>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</si>
  <si>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</si>
  <si>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</si>
  <si>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</si>
  <si>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</si>
  <si>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</si>
  <si>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</si>
  <si>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</si>
  <si>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</si>
  <si>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</si>
  <si>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</si>
  <si>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</si>
  <si>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</si>
  <si>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</si>
  <si>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</si>
  <si>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</si>
  <si>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</si>
  <si>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</si>
  <si>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31-10-2023 00:00:00</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</si>
  <si>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</si>
  <si>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</si>
  <si>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</si>
  <si>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</si>
  <si>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</si>
  <si>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</si>
  <si>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</si>
  <si>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</si>
  <si>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</si>
  <si>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</si>
  <si>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</si>
  <si>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</si>
  <si>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</si>
  <si>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</si>
  <si>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</si>
  <si>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</si>
  <si>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</si>
  <si>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</si>
  <si>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</si>
  <si>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</si>
  <si>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</si>
  <si>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</si>
  <si>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</si>
  <si>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</si>
  <si>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</si>
  <si>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</si>
  <si>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</si>
  <si>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</si>
  <si>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</si>
  <si>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</si>
  <si>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</si>
  <si>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</si>
  <si>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</si>
  <si>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</si>
  <si>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</si>
  <si>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</si>
  <si>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</si>
  <si>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</si>
  <si>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</si>
  <si>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</si>
  <si>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</si>
  <si>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</si>
  <si>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</si>
  <si>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</si>
  <si>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</si>
  <si>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</si>
  <si>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</si>
  <si>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</si>
  <si>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</si>
  <si>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</si>
  <si>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</si>
  <si>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</si>
  <si>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</si>
  <si>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</si>
  <si>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</si>
  <si>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</si>
  <si>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</si>
  <si>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</si>
  <si>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</si>
  <si>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</si>
  <si>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</si>
  <si>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</si>
  <si>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</si>
  <si>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</si>
  <si>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</si>
  <si>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</si>
  <si>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</si>
  <si>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</si>
  <si>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</si>
  <si>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</si>
  <si>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</si>
  <si>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</si>
  <si>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</si>
  <si>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</si>
  <si>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</si>
  <si>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</si>
  <si>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</si>
  <si>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</si>
  <si>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</si>
  <si>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</si>
  <si>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</si>
  <si>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</si>
  <si>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</si>
  <si>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</si>
  <si>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</si>
  <si>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</si>
  <si>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</si>
  <si>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</si>
  <si>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</si>
  <si>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</si>
  <si>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</si>
  <si>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</si>
  <si>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</si>
  <si>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</si>
  <si>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</si>
  <si>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</si>
  <si>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</si>
  <si>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</si>
  <si>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</si>
  <si>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</si>
  <si>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</si>
  <si>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</si>
  <si>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</si>
  <si>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</si>
  <si>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</si>
  <si>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</si>
  <si>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</si>
  <si>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</si>
  <si>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</si>
  <si>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</si>
  <si>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</si>
  <si>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</si>
  <si>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</si>
  <si>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</si>
  <si>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</si>
  <si>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</si>
  <si>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</si>
  <si>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</si>
  <si>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</si>
  <si>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</si>
  <si>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</si>
  <si>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</si>
  <si>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</si>
  <si>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</si>
  <si>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</si>
  <si>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</si>
  <si>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</si>
  <si>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</si>
  <si>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</si>
  <si>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</si>
  <si>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</si>
  <si>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</si>
  <si>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</si>
  <si>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</si>
  <si>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</si>
  <si>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1 41 00 | Сельскохозяйственные производственные кооперативы</t>
  </si>
  <si>
    <t>7 51 05 | Государственные внебюджетные фонды Российской Федерации</t>
  </si>
  <si>
    <t>SUBSIDIARY_LIST</t>
  </si>
  <si>
    <t>Ульяновская ТЭЦ-1</t>
  </si>
  <si>
    <t>DPR_LIST</t>
  </si>
  <si>
    <t>Оказание услуг на территории: Астрадамовское (ОКТМО: 73644410) - с Астрадамовка</t>
  </si>
  <si>
    <t>Оказание услуг на территории: Базарносызганское городское поселение (ОКТМО: 73602151) - п Дальнее Поле</t>
  </si>
  <si>
    <t>Оказание услуг на территории: Базарносызганское городское поселение (ОКТМО: 73602151) - рп Базарный Сызган</t>
  </si>
  <si>
    <t>Оказание услуг на территории: Барановское (ОКТМО: 73625415) - с Барановка</t>
  </si>
  <si>
    <t>Оказание услуг на территории: Барановское (ОКТМО: 73625415) - с Губашево</t>
  </si>
  <si>
    <t>Оказание услуг на территории: Барановское (ОКТМО: 73625415) - с Давыдовка</t>
  </si>
  <si>
    <t>Оказание услуг на территории: Бекетовское (ОКТМО: 73607410) - с Бекетовка</t>
  </si>
  <si>
    <t>Оказание услуг на территории: Бекетовское (ОКТМО: 73607410) - с Старое Погорелово</t>
  </si>
  <si>
    <t>Оказание услуг на территории: Вешкаймское (ОКТМО: 73607151) - п Залесный</t>
  </si>
  <si>
    <t>Оказание услуг на территории: Вешкаймское (ОКТМО: 73607151) - рп Вешкайма</t>
  </si>
  <si>
    <t>Оказание услуг на территории: Вешкаймское (ОКТМО: 73607151) - с Вешкайма</t>
  </si>
  <si>
    <t>Оказание услуг на территории: Вешкаймское (ОКТМО: 73607151) - с Красный Бор</t>
  </si>
  <si>
    <t>Оказание услуг на территории: Вешкаймское (ОКТМО: 73607151) - с Озерки</t>
  </si>
  <si>
    <t>Оказание услуг на территории: Вешкаймское (ОКТМО: 73607151) - с Ховрино</t>
  </si>
  <si>
    <t>Оказание услуг на территории: Выровское (ОКТМО: 73620420) - с Полбино</t>
  </si>
  <si>
    <t>Оказание услуг на территории: Высококолковское (ОКТМО: 73627420) - с Александровка</t>
  </si>
  <si>
    <t>Оказание услуг на территории: Высококолковское (ОКТМО: 73627420) - с Средняя Якушка</t>
  </si>
  <si>
    <t>Оказание услуг на территории: Дубровское (ОКТМО: 73625435) - д Сосновка</t>
  </si>
  <si>
    <t>Оказание услуг на территории: Дубровское (ОКТМО: 73625435) - с Мордовский Канадей</t>
  </si>
  <si>
    <t>Оказание услуг на территории: Дубровское (ОКТМО: 73625435) - с Никитино</t>
  </si>
  <si>
    <t>Оказание услуг на территории: Елаурское (ОКТМО: 73636440) - с Елаур</t>
  </si>
  <si>
    <t>Оказание услуг на территории: Зеленовское (ОКТМО: 73639450) - кроме с Новое Зеленое</t>
  </si>
  <si>
    <t>Оказание услуг на территории: Зеленовское (ОКТМО: 73639450) - с Новое Зеленое</t>
  </si>
  <si>
    <t>Оказание услуг на территории: Зеленовское сельское поселение (ОКТМО: 73639450) - с Старое Зеленое</t>
  </si>
  <si>
    <t>Оказание услуг на территории: Игнатовское (ОКТМО: 73620158) - рп Игнатовка</t>
  </si>
  <si>
    <t>Оказание услуг на территории: Игнатовское (ОКТМО: 73620158) - с Загоскино</t>
  </si>
  <si>
    <t>Оказание услуг на территории: Инзенское городское поселение (ОКТМО: 73610101) - г Инза</t>
  </si>
  <si>
    <t>Оказание услуг на территории: Калиновское (ОКТМО: 73634425) - с Вязовка</t>
  </si>
  <si>
    <t>Оказание услуг на территории: Канадейское (ОКТМО: 73625439) - за исключением п Клин</t>
  </si>
  <si>
    <t>Оказание услуг на территории: Канадейское (ОКТМО: 73625439) - п Клин</t>
  </si>
  <si>
    <t>Оказание услуг на территории: Канадейское (ОКТМО: 73625439) - п Крутец</t>
  </si>
  <si>
    <t>Оказание услуг на территории: Канадейское (ОКТМО: 73625439) - с Канадей</t>
  </si>
  <si>
    <t>Оказание услуг на территории: Канадейское (ОКТМО: 73625439) - с Прасковьино</t>
  </si>
  <si>
    <t>Оказание услуг на территории: Коромысловское (ОКТМО: 73616430) - с Бестужевка</t>
  </si>
  <si>
    <t>Оказание услуг на территории: Коромысловское (ОКТМО: 73616430) - с Кузоватово, с Коромысловка, с Уваровка, с Смышляева, с Баевка</t>
  </si>
  <si>
    <t>Оказание услуг на территории: Красносельское (ОКТМО: 73629440) - от водозаборных скважин насосной станции 1 подъёма Репьёвского водозабора</t>
  </si>
  <si>
    <t>Оказание услуг на территории: Красносельское (ОКТМО: 73629440) - п Красносельск от водозаборных скважин 1-го подъёма</t>
  </si>
  <si>
    <t>Оказание услуг на территории: Лесоматюнинское (ОКТМО: 73616445) - п.ст Налейка</t>
  </si>
  <si>
    <t>Оказание услуг на территории: Лесоматюнинское (ОКТМО: 73616445) - с Лесное Матюнино</t>
  </si>
  <si>
    <t>Оказание услуг на территории: Мирновское (ОКТМО: 73656440) - п Лощина</t>
  </si>
  <si>
    <t>Оказание услуг на территории: Мирновское (ОКТМО: 73656440) - п Мирный</t>
  </si>
  <si>
    <t>Оказание услуг на территории: Новомалыклинское (ОКТМО: 73627450) - с Средний Сантимир</t>
  </si>
  <si>
    <t>Оказание услуг на территории: Новопогореловское (ОКТМО: 73614450) - с Новое Погорелово</t>
  </si>
  <si>
    <t>Оказание услуг на территории: Новоселкинское (ОКТМО: 73622425) - с Моисеевка</t>
  </si>
  <si>
    <t>Оказание услуг на территории: Новослободское (ОКТМО: 73636460) - с Каранино</t>
  </si>
  <si>
    <t>Оказание услуг на территории: Новоспасское (ОКТМО: 73629151) - рп Новоспасск</t>
  </si>
  <si>
    <t>Оказание услуг на территории: Новоспасское (ОКТМО: 73629151) - с Суруловка</t>
  </si>
  <si>
    <t>Оказание услуг на территории: Новочеремшанское (ОКТМО: 73627452) - с Вороний Куст</t>
  </si>
  <si>
    <t>Оказание услуг на территории: Октябрьское (ОКТМО: 73656406) - п Октябрьский</t>
  </si>
  <si>
    <t>Оказание услуг на территории: Октябрьское (ОКТМО: 73656406) - п Первомайский</t>
  </si>
  <si>
    <t>Оказание услуг на территории: Октябрьское (ОКТМО: 73656406) - п Пятисотенный</t>
  </si>
  <si>
    <t>Оказание услуг на территории: Октябрьское (ОКТМО: 73656406) - студенческий городок</t>
  </si>
  <si>
    <t>Оказание услуг на территории: Ореховское (ОКТМО: 73634445) - кроме с Софьино</t>
  </si>
  <si>
    <t>Оказание услуг на территории: Ореховское (ОКТМО: 73634445) - с Софьино</t>
  </si>
  <si>
    <t>Оказание услуг на территории: Ореховское (ОКТМО: 73634445) - с Средниково</t>
  </si>
  <si>
    <t>Оказание услуг на территории: Павловское (ОКТМО: 73632151) - с Евлейка</t>
  </si>
  <si>
    <t>Оказание услуг на территории: Павловское (ОКТМО: 73632151) - с Кадышовка</t>
  </si>
  <si>
    <t>Оказание услуг на территории: Павловское (ОКТМО: 73632151) - с Павловка</t>
  </si>
  <si>
    <t>Оказание услуг на территории: Павловское городское поселение (ОКТМО: 73632151) - рп Павловка</t>
  </si>
  <si>
    <t>Оказание услуг на территории: Павловское городское поселение (ОКТМО: 73632151) - с Евлейка</t>
  </si>
  <si>
    <t>Оказание услуг на территории: Павловское городское поселение (ОКТМО: 73632151) - с Кадышевка</t>
  </si>
  <si>
    <t>Оказание услуг на территории: Пичеурское (ОКТМО: 73632425) - с Старый Пичеур</t>
  </si>
  <si>
    <t>Оказание услуг на территории: Подкуровское (ОКТМО: 73648438) - с Солдатская Ташла</t>
  </si>
  <si>
    <t>Оказание услуг на территории: Радищевское городское поселение (ОКТМО: 73634151) - с Адоевщина, с Чауши</t>
  </si>
  <si>
    <t>Оказание услуг на территории: Сенгилеевское городское поселение (ОКТМО: 73636101) - рп Цемзавод</t>
  </si>
  <si>
    <t>Оказание услуг на территории: Славкинское (ОКТМО: 73625465) - с Славкино</t>
  </si>
  <si>
    <t>Оказание услуг на территории: Сосновское (ОКТМО: 73614455) - с Сосновка</t>
  </si>
  <si>
    <t>Оказание услуг на территории: Среднесантимирское сельское поселение (ОКТМО: 73627460) - с Средний Сантимир</t>
  </si>
  <si>
    <t>Оказание услуг на территории: Среднеякушкинское (ОКТМО: 73627462) - с Средняя Якушка</t>
  </si>
  <si>
    <t>Оказание услуг на территории: Старокулаткинское (ОКТМО: 73639151) - рп Старая Кулатка</t>
  </si>
  <si>
    <t>Оказание услуг на территории: Старокулаткинское (ОКТМО: 73639151) - с Бахтеевка, с Чувашская Кулатка</t>
  </si>
  <si>
    <t>Оказание услуг на территории: Старокулаткинское (ОКТМО: 73639151) - с Новая Кулатка</t>
  </si>
  <si>
    <t>Оказание услуг на территории: Старокулаткинское (ОКТМО: 73639151) - с Новые Зимницы</t>
  </si>
  <si>
    <t>Оказание услуг на территории: Старокулаткинское (ОКТМО: 73639151) - с Старая Яндовка</t>
  </si>
  <si>
    <t>Оказание услуг на территории: Сурское (ОКТМО: 73644151) - рп Сурское</t>
  </si>
  <si>
    <t>Оказание услуг на территории: Сурское (ОКТМО: 73644151) - с Кирзять</t>
  </si>
  <si>
    <t>Оказание услуг на территории: Сурское (ОКТМО: 73644151) - с Полянки</t>
  </si>
  <si>
    <t>Оказание услуг на территории: Сухотерешанское (ОКТМО: 73625470) - д Дуровка</t>
  </si>
  <si>
    <t>Оказание услуг на территории: Сухотерешанское (ОКТМО: 73625470) - д Русские Зимницы</t>
  </si>
  <si>
    <t>Оказание услуг на территории: Сухотерешанское (ОКТМО: 73625470) - с Куроедово</t>
  </si>
  <si>
    <t>Оказание услуг на территории: Сюксюмское (ОКТМО: 73610475) - с Сюксюм</t>
  </si>
  <si>
    <t>Оказание услуг на территории: Тагайское (ОКТМО: 73620470) - переулок центральный</t>
  </si>
  <si>
    <t>Оказание услуг на территории: Тагайское (ОКТМО: 73620470) - с Копышовка</t>
  </si>
  <si>
    <t>Оказание услуг на территории: Тагайское (ОКТМО: 73620470) - с Тагай</t>
  </si>
  <si>
    <t>Оказание услуг на территории: Труслейское (ОКТМО: 73610480) - с Юлово</t>
  </si>
  <si>
    <t>Оказание услуг на территории: Тушнинское (ОКТМО: 73636480) - с Тушна</t>
  </si>
  <si>
    <t>Оказание услуг на территории: Ундоровское (ОКТМО: 73652470) - п Крутояр (питьевая вода)</t>
  </si>
  <si>
    <t>Оказание услуг на территории: Ундоровское (ОКТМО: 73652470) - поворот на с Ундоры</t>
  </si>
  <si>
    <t>Оказание услуг на территории: Ундоровское (ОКТМО: 73652470) - поворот на санаторий В.И. Ленина</t>
  </si>
  <si>
    <t>Оказание услуг на территории: Ундоровское (ОКТМО: 73652470) - с Вышки</t>
  </si>
  <si>
    <t>Оказание услуг на территории: Цильнинское (ОКТМО: 73654154) - рп Цильна</t>
  </si>
  <si>
    <t>Оказание услуг на территории: Цильнинское (ОКТМО: 73654154) - с Арбузовка</t>
  </si>
  <si>
    <t>Оказание услуг на территории: Чердаклинское (ОКТМО: 73656151) - рп Чердаклы</t>
  </si>
  <si>
    <t>Оказание услуг на территории: Чердаклинское (ОКТМО: 73656151) - с Енганаево</t>
  </si>
  <si>
    <t>Оказание услуг на территории: Чуфаровское (ОКТМО: 73607158) - рп Чуфарово</t>
  </si>
  <si>
    <t>Оказание услуг на территории: Чуфаровское (ОКТМО: 73607158) - с Березовка</t>
  </si>
  <si>
    <t>Оказание услуг на территории: Языковское (ОКТМО: 73634445) - п Языково</t>
  </si>
  <si>
    <t>Оказание услуг на территории: Языковское (ОКТМО: 73634445) - с Прислониха</t>
  </si>
  <si>
    <t>Оказание услуг на территории: Ясашноташлинское (ОКТМО: 73648450) - п Мочилки</t>
  </si>
  <si>
    <t>Оказание услуг на территории: город Димитровград (ОКТМО: 73705000) - Западный район</t>
  </si>
  <si>
    <t>Оказание услуг на территории: город Димитровград (ОКТМО: 73705000) - Центральный и Первомайский районы</t>
  </si>
  <si>
    <t>Оказание услуг на территории: город Новоульяновск (ОКТМО: 73715000) - г Новоульяновск</t>
  </si>
  <si>
    <t>Оказание услуг на территории: город Новоульяновск (ОКТМО: 73715000) - п Меловой</t>
  </si>
  <si>
    <t>Оказание услуг на территории: город Новоульяновск (ОКТМО: 73715000) - п Северный</t>
  </si>
  <si>
    <t>Оказание услуг на территории: город Новоульяновск (ОКТМО: 73715000) - с Криуши</t>
  </si>
  <si>
    <t>Оказание услуг на территории: город Новоульяновск (ОКТМО: 73715000) - с Липки</t>
  </si>
  <si>
    <t>Оказание услуг на территории: город Новоульяновск (ОКТМО: 73715000) - с Панская Слобода</t>
  </si>
  <si>
    <t>Оказание услуг на территории: город Ульяновск (ОКТМО: 73701000) - техническая вода</t>
  </si>
  <si>
    <t>Оказание услуг на территории: город Ульяновск (ОКТМО: 73701000) - техническая вода, прошедшая дополнительную обработку</t>
  </si>
  <si>
    <t>Оказание услуг на территории: город Ульяновск (ОКТМО: 73701000) - транспортировка питьевой воды</t>
  </si>
  <si>
    <t>Оказание услуг на территории: город Ульяновск (ОКТМО: 73701000) - транспортировка технической воды</t>
  </si>
  <si>
    <t>Оказание услуг на территории: город Ульяновск (ОКТМО: 73701000) - через сети АО "Комета"</t>
  </si>
  <si>
    <t>Оказание услуг на территории: Барышский муниципальный район (ОКТМО: 73604000) - г Барыш</t>
  </si>
  <si>
    <t>Оказание услуг на территории: Барышское городское поселение (ОКТМО: 73604101) - г Барыш</t>
  </si>
  <si>
    <t>Оказание услуг на территории: Цильнинское городское поселение (ОКТМО: 73654154) - рп Цильна</t>
  </si>
  <si>
    <t>Оказание услуг на территории: Цильнинское городское поселение (ОКТМО: 73654154) - южная часть п Цильна</t>
  </si>
  <si>
    <t>Оказание услуг на территории: Чуфаровское городское поселение (ОКТМО: 73607158) - рп Чуфарово</t>
  </si>
  <si>
    <t>Оказание услуг на территории: город Ульяновск (ОКТМО: 73701000) - транспортировка промышленных стоков</t>
  </si>
  <si>
    <t>Оказание услуг на территории: город Ульяновск (ОКТМО: 73701000) - транспортировка хозяйственно-бытовых стоков</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</si>
  <si>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</si>
  <si>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</si>
  <si>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</si>
  <si>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</si>
  <si>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</si>
  <si>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</si>
  <si>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</si>
  <si>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</si>
  <si>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</si>
  <si>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</si>
  <si>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</si>
  <si>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</si>
  <si>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</si>
  <si>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</si>
  <si>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</si>
  <si>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</si>
  <si>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</si>
  <si>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</si>
  <si>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</si>
  <si>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</si>
  <si>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</si>
  <si>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</si>
  <si>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</si>
  <si>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</si>
  <si>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</si>
  <si>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</si>
  <si>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</si>
  <si>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</si>
  <si>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</si>
  <si>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</si>
  <si>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</si>
  <si>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</si>
  <si>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</si>
  <si>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</si>
  <si>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</si>
  <si>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</si>
  <si>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</si>
  <si>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</si>
  <si>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</si>
  <si>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</si>
  <si>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</si>
  <si>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</si>
  <si>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</si>
  <si>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</si>
  <si>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</si>
  <si>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</si>
  <si>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</si>
  <si>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</si>
  <si>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</si>
  <si>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</si>
  <si>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</si>
  <si>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</si>
  <si>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</si>
  <si>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</si>
  <si>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</si>
  <si>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</si>
  <si>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</si>
  <si>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</si>
  <si>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</si>
  <si>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</si>
  <si>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</si>
  <si>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</si>
  <si>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</si>
  <si>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</si>
  <si>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</si>
  <si>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</si>
  <si>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</si>
  <si>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</si>
  <si>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</si>
  <si>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</si>
  <si>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</si>
  <si>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</si>
  <si>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</si>
  <si>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</si>
  <si>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</si>
  <si>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</si>
  <si>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</si>
  <si>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</si>
  <si>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</si>
  <si>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</si>
  <si>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</si>
  <si>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</si>
  <si>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</si>
  <si>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</si>
  <si>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</si>
  <si>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</si>
  <si>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</si>
  <si>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</si>
  <si>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</si>
  <si>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</si>
  <si>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</si>
  <si>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</si>
  <si>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</si>
  <si>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</si>
  <si>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</si>
  <si>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</si>
  <si>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</si>
  <si>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</si>
  <si>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</si>
  <si>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</si>
  <si>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</si>
  <si>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</si>
  <si>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</si>
  <si>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</si>
  <si>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</si>
  <si>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</si>
  <si>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</si>
  <si>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</si>
  <si>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</si>
  <si>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</si>
  <si>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</si>
  <si>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</si>
  <si>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</si>
  <si>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</si>
  <si>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</si>
  <si>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</si>
  <si>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</si>
  <si>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</si>
  <si>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</si>
  <si>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</si>
  <si>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</si>
  <si>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</si>
  <si>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</si>
  <si>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</si>
  <si>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</si>
  <si>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</si>
  <si>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</si>
  <si>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</si>
  <si>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</si>
  <si>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</si>
  <si>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</si>
  <si>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</si>
  <si>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</si>
  <si>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</si>
  <si>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</si>
  <si>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</si>
  <si>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</si>
  <si>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</si>
  <si>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</si>
  <si>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</si>
  <si>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</si>
  <si>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</si>
  <si>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</si>
  <si>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</si>
  <si>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</si>
  <si>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</si>
  <si>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</si>
  <si>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</si>
  <si>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</si>
  <si>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</si>
  <si>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</si>
  <si>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</si>
  <si>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</si>
  <si>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</si>
  <si>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</si>
  <si>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</si>
  <si>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</si>
  <si>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</si>
  <si>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</si>
  <si>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</si>
  <si>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</si>
  <si>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</si>
  <si>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</si>
  <si>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</si>
  <si>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</si>
  <si>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</si>
  <si>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</si>
  <si>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</si>
  <si>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</si>
  <si>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</si>
  <si>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</si>
  <si>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</si>
  <si>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</si>
  <si>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</si>
  <si>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</si>
  <si>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</si>
  <si>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</si>
  <si>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</si>
  <si>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</si>
  <si>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</si>
  <si>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</si>
  <si>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</si>
  <si>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</si>
  <si>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</si>
  <si>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</si>
  <si>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</si>
  <si>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</si>
  <si>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</si>
  <si>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</si>
  <si>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</si>
  <si>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</si>
  <si>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</si>
  <si>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</si>
  <si>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</si>
  <si>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</si>
  <si>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</si>
  <si>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</si>
  <si>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</si>
  <si>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</si>
  <si>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</si>
  <si>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</si>
  <si>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</si>
  <si>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</si>
  <si>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</si>
  <si>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</si>
  <si>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</si>
  <si>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</si>
  <si>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</si>
  <si>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</si>
  <si>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</si>
  <si>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</si>
  <si>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</si>
  <si>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</si>
  <si>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</si>
  <si>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</si>
  <si>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</si>
  <si>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</si>
  <si>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</si>
  <si>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</si>
  <si>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</si>
  <si>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</si>
  <si>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</si>
  <si>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</si>
  <si>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</si>
  <si>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</si>
  <si>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</si>
  <si>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</si>
  <si>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</si>
  <si>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</si>
  <si>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</si>
  <si>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</si>
  <si>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</si>
  <si>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</si>
  <si>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</si>
  <si>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</si>
  <si>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</si>
  <si>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</si>
  <si>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</si>
  <si>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</si>
  <si>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</si>
  <si>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</si>
  <si>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</si>
  <si>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</si>
  <si>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</si>
  <si>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</si>
  <si>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</si>
  <si>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</si>
  <si>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</si>
  <si>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</si>
  <si>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</si>
  <si>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</si>
  <si>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</si>
  <si>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</si>
  <si>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</si>
  <si>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</si>
  <si>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</si>
  <si>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</si>
  <si>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</si>
  <si>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</si>
  <si>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</si>
  <si>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</si>
  <si>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</si>
  <si>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</si>
  <si>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</si>
  <si>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</si>
  <si>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</si>
  <si>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</si>
  <si>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</si>
  <si>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</si>
  <si>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</si>
  <si>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</si>
  <si>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</si>
  <si>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</si>
  <si>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</si>
  <si>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</si>
  <si>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</si>
  <si>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</si>
  <si>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</si>
  <si>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</si>
  <si>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</si>
  <si>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</si>
  <si>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</si>
  <si>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</si>
  <si>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</si>
  <si>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</si>
  <si>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</si>
  <si>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</si>
  <si>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</si>
  <si>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</si>
  <si>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</si>
  <si>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</si>
  <si>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</si>
  <si>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</si>
  <si>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</si>
  <si>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</si>
  <si>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</si>
  <si>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</si>
  <si>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</si>
  <si>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</si>
  <si>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</si>
  <si>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</si>
  <si>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</si>
  <si>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</si>
  <si>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</si>
  <si>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</si>
  <si>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</si>
  <si>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</si>
  <si>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</si>
  <si>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</si>
  <si>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</si>
  <si>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</si>
  <si>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</si>
  <si>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</si>
  <si>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</si>
  <si>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</si>
  <si>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</si>
  <si>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</si>
  <si>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</si>
  <si>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</si>
  <si>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</si>
  <si>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</si>
  <si>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</si>
  <si>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</si>
  <si>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</si>
  <si>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</si>
  <si>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</si>
  <si>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</si>
  <si>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</si>
  <si>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</si>
  <si>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</si>
  <si>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</si>
  <si>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</si>
  <si>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</si>
  <si>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</si>
  <si>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</si>
  <si>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</si>
  <si>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</si>
  <si>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</si>
  <si>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</si>
  <si>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</si>
  <si>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</si>
  <si>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</si>
  <si>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</si>
  <si>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</si>
  <si>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</si>
  <si>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</si>
  <si>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</si>
  <si>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</si>
  <si>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</si>
  <si>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</si>
  <si>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</si>
  <si>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</si>
  <si>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</si>
  <si>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</si>
  <si>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</si>
  <si>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</si>
  <si>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</si>
  <si>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</si>
  <si>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</si>
  <si>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125190, РФ, г. Москва, Ленинградский проспект, д.45 "Г"</t>
  </si>
  <si>
    <t>Шереметов Сергей Константинович</t>
  </si>
  <si>
    <t>Директор</t>
  </si>
  <si>
    <t>ПУБЛИЧНОЕ АКЦИОНЕРНОЕ ОБЩЕСТВО "АВИАЦИОННЫЙ КОМПЛЕКС ИМ. С.В. ИЛЬЮШИНА"</t>
  </si>
  <si>
    <t>ПАО "ИЛ"</t>
  </si>
  <si>
    <t>1027739118659</t>
  </si>
  <si>
    <t>TEMPLATE_LGL_ID</t>
  </si>
  <si>
    <t>TEMPLATE_PRD</t>
  </si>
  <si>
    <t>TEMPLATE_STATUS</t>
  </si>
  <si>
    <t>TEMPLATE_DATE</t>
  </si>
  <si>
    <t>TARIFF_ID</t>
  </si>
  <si>
    <t>TARIFF_VID</t>
  </si>
  <si>
    <t>TARIFF_TIP</t>
  </si>
  <si>
    <t>TARIFF_VDET</t>
  </si>
  <si>
    <t>TARIFF_VTOV</t>
  </si>
  <si>
    <t>TARIFF_DOP</t>
  </si>
  <si>
    <t>TARIFF_MO_LIST</t>
  </si>
  <si>
    <t>ХВС.73.31529732.0002</t>
  </si>
  <si>
    <t>&lt;нет шаблона&gt;</t>
  </si>
  <si>
    <t>ХВС.73.31529732.0003</t>
  </si>
  <si>
    <t>7576799945</t>
  </si>
  <si>
    <t>2024</t>
  </si>
  <si>
    <t>Принят</t>
  </si>
  <si>
    <t>25.12.2023 14:36:57</t>
  </si>
  <si>
    <t>ХВС.73.31529732.0001</t>
  </si>
  <si>
    <t>Производство (подъём / добыча) воды :: Транспортировка воды :: Сбыт (распределение) воды</t>
  </si>
  <si>
    <t>Чердаклинский муниципальный район/Чердаклинский муниципальный район/73656000/</t>
  </si>
  <si>
    <t>7574902452</t>
  </si>
  <si>
    <t>25.12.2023 10:35:44</t>
  </si>
  <si>
    <t>ВО.73.31529732.0001</t>
  </si>
  <si>
    <t>тариф на транспортировку сточных вод</t>
  </si>
  <si>
    <t>Транспортировка сточных вод</t>
  </si>
  <si>
    <t>город Ульяновск/город Ульяновск/73701000/</t>
  </si>
  <si>
    <t>ВО.73.31529732.0002</t>
  </si>
  <si>
    <t>Антонова пр., д. 1, г.Ульяновск, 432072</t>
  </si>
  <si>
    <t>8-8422-28-01-55</t>
  </si>
  <si>
    <t>d185@aviastar-sp.ru</t>
  </si>
  <si>
    <t>0 %</t>
  </si>
  <si>
    <t>Закирова А.Р., Чурсина М.А.</t>
  </si>
  <si>
    <t>экономист</t>
  </si>
  <si>
    <t>8-8422-28-27-54, 28-78-86</t>
  </si>
  <si>
    <t>d185@aviastar-sp.ru, econom@ulvost.aero</t>
  </si>
  <si>
    <t>25.11.2022</t>
  </si>
  <si>
    <t>18-тсв-828вх,839вх/2023</t>
  </si>
  <si>
    <t>Мизурева Н.Е.</t>
  </si>
  <si>
    <t>главный консультант отдела регулирования ЖКК</t>
  </si>
  <si>
    <t>8-8422-24-16-08</t>
  </si>
  <si>
    <t>otdelzhkk@mail.ru</t>
  </si>
  <si>
    <t>Тариф 1 (завод Авиастар). Предприятием не представлена динамика объемов за 5 лет. Для расчета тарифов экспертами учтены предложение предприятия на 2024 год.</t>
  </si>
  <si>
    <t>Тариф 2 (Аэропорт "Ульяновск-Восточный"). Предприятием не представлена динамика объемов за 5 лет. Для расчета тарифов экспертами учтены предложение предприятия на 2024 год.</t>
  </si>
  <si>
    <t>1)Тариф 1 (завод Авиастар).</t>
  </si>
  <si>
    <t>2)Тариф 2 (Аэропорт).</t>
  </si>
  <si>
    <t>Тариф 2 (Аэропорт "Ульяновск-Восточный"). Расходы по налогам на 2024 год предприятием не предусмотрены.</t>
  </si>
  <si>
    <t>ВО.73.31529732.0003</t>
  </si>
  <si>
    <t>306-п</t>
  </si>
  <si>
    <t>16-ТПСВ-825вх,838вх/2023</t>
  </si>
  <si>
    <t>ВО.73.31529732.0004</t>
  </si>
  <si>
    <t>SPHERE</t>
  </si>
  <si>
    <t>NMBR</t>
  </si>
  <si>
    <t>NMOB</t>
  </si>
  <si>
    <t>STYPE</t>
  </si>
  <si>
    <t>ADDRESS</t>
  </si>
  <si>
    <t>L_EXPLOIT_DOC_BASE</t>
  </si>
  <si>
    <t>L_EXPLOIT_DOC_TYPE</t>
  </si>
  <si>
    <t>L_EXPLOIT_DOC_NUMBER</t>
  </si>
  <si>
    <t>L_EXPLOIT_DOC_DATE</t>
  </si>
  <si>
    <t>ВС</t>
  </si>
  <si>
    <t>Водозабор [ОСП "Международный аэропорт "Ульяновск-Восточный"]</t>
  </si>
  <si>
    <t>НС с сетями</t>
  </si>
  <si>
    <t>рп Чердаклы / нет / нет</t>
  </si>
  <si>
    <t>2015/188-р</t>
  </si>
  <si>
    <t>28.09.2015</t>
  </si>
  <si>
    <t>система хозпитьевого противопожарного водопровода АО "Авиастар-СП"</t>
  </si>
  <si>
    <t>сеть</t>
  </si>
  <si>
    <t>г Ульяновск / проспект Антонова / 1</t>
  </si>
  <si>
    <t>01.01.1998</t>
  </si>
  <si>
    <t>ВО</t>
  </si>
  <si>
    <t>Сети канализации [ОСП "Международный аэропорт "Ульяновск-Восточный"]</t>
  </si>
  <si>
    <t>система хозбытовой канализации АО"Авиастар-СП"</t>
  </si>
  <si>
    <t>КНС с сетями</t>
  </si>
  <si>
    <t>г Ульяновск / Антонова / 1</t>
  </si>
  <si>
    <t>1.Тариф 1 (завод Авиастар).
Предприятием предложены расходы н аэлектроэнергию на 2024 год в размере 88,71 тыс. руб.
Рассмотрены материалы: смета расходов, расходы на электроэнергию. Фактический тариф на электроэнергию 2022 года составил- 5,63 руб/1квтч без ндс.
Исходя из объема поверхностных сточных вод на 2024-685,16 тыс. м3, удельного расхода электроэнергии -0,0233 квтч/1м3(долгосрочный параметр принятый приказом № 06-329 от 12.12.2019), прогнозного тарифа на электроэнергию 6,62 руб/1квтч без ндс -по предложению предприятия (рост от фактич тарифа ээ 2022 17,6% -не выше ипц 2023-2024 гг.), эксперты предлагают считать экономически обоснованными затратами на электроэнергию: 685,16*0,0233*6,62=105,68 тыс. руб.</t>
  </si>
  <si>
    <t>2. Тариф 2-Аэропорт.
Расходы на электроэнергию не предусмотрены на 2024 год.</t>
  </si>
  <si>
    <t>1.Тариф 2(Аэропорт).
Расходы на электроэнергию предприятием не предложены на 2024 год.</t>
  </si>
  <si>
    <t>Тариф 1 (завод Авиастар). Предприятием затраты по аренде на 2024г. не предусмотрены.</t>
  </si>
  <si>
    <t xml:space="preserve">Тариф 2 (Аэропорт "Ульяновск-Восточный").
Предприятием предложены расходы по аренде имущества на 2024  в размере -110,20 тыс. р.
В тарифном деле представлены документы: договор аренды федерального имущества от 28.09.2015 № 2015/188-р, расчет арендной платы. Проанализировав материалы, эксперты не согласны с предложением.
В соответствии с п.29 Методических указаний 1746-э  Расходы на арендную плату и лизинговые платежи в отношении централизованных систем водоснабжения и (или) водоотведения либо объектов, входящих в состав таких систем, определяются органом регулирования тарифов в размере, не превышающем экономически обоснованный размер такой платы, с учетом особенностей, предусмотренных настоящим пунктом.
Экономически обоснованный размер арендной платы или лизингового платежа определяется исходя из принципа возмещения арендодателю (лизингодателю) амортизации, налогов на имущество, в том числе на землю, и других обязательных платежей собственника передаваемого в аренду (лизинг) имущества, связанных с владением указанным имуществом. Экономически обоснованный уровень размера арендной платы или лизингового платежа не может превышать размер, установленный в конкурсной документации или документации об аукционе, если арендная плата (лизинговый платеж) являлись критерием конкурса или аукциона на заключение соответствующего договора.
Эксперты считают, что сумма арендной платы, предложенная предприятием, не обоснована, так как  не соответствуют положениям п.29 Методических указаний 1746-э.
Таким образом, эксперты предлагают исключить арендную плату из расчета (на основании п. 30 Правил регулирования тарифов в сфере водоснабжения и водоотведения, утверждённых постановлением Правительства РФ от 13.05.2013  406 «О государственном регулировании тарифов в сфере водоснабжения и водоотведения»).  </t>
  </si>
  <si>
    <t>1.Тариф 1 (завод Авиастар).
Предприятие предлагает амортизацию на 2024 год в размере 434,78 тыс. руб.
Амортизация начисляется в соответствии с учетной политикой предприятия.
Однако, эксперты принимают в расчет экономически обоснованный размер амортизации, расчитанный в соответствии с Методическими указаниями 1746-э с учетом срока максимально полезного использования. 
По представленным инвентарным карточкам-доп матер от 27.10.2023 № 2125вх, максимальный срок полезного использования истек, амортизация =0.
Таким образом , с предложением предприятяи эксперты не согласны и исключают амортизацию из расчета (в соответствии с п.30 Правил)</t>
  </si>
  <si>
    <t>Тариф 1 (завод Авиастар). Предприятием предложен налог  на имущество на 2024 год: 19,52 тыс руб.  
Из-за отсутствия обоснования, эксперты предлагают признать экономически обоснованными расходами по налогам в размере-0,00 тыс.руб. (исключается в соответствии с п.30 Правил)</t>
  </si>
  <si>
    <t>Тариф 1 (завод Авиастар). Корректировка НВВ за 2022 год предприятием не представлена.  Корректировка проведена экспертами на основании долгосрочных параметров регулирования тарифов (приказ 06-329 от 12.12.2019),  с учетом подтвержденных фатических расходов за 2022 год.
Товарная выручка должна составить за  2022 год-2062,0тыс. р., фактич величина НВВ 2022 -1860,58 т.р., корректировка 2022 = (-201,42) тыс р.</t>
  </si>
  <si>
    <t>Тариф 2 (Аэропорт "Ульяновск-Восточный"). Корректировка НВВ за 2022 год предприятием не представлена.  Корректировка проведена экспертами на основании долгосрочных параметров регулирования тарифов (приказ 06-329 от 12.12.2019),  с учетом подтвержденных фатических расходов за 2022 год.
Товарная выручка должна составить за  2022 год-1272,98 тыс. р., фактич величина НВВ 2022 -1076,99 т.р., корректировка 2022 = (-195,99) тыс р.</t>
  </si>
  <si>
    <t xml:space="preserve">1. Операционные расходы. Предприятием предложены операционные расходы на 2024 год  в размере -5005,98тыс.руб.
Операционные расходы устанавливаются на каждый год долгосрочного периода регулирования путём индексации базового уровня операционных расходов. Базовый уровень операционных расходов на 2020 год был утверждён в размере 1597,82 тыс. руб.
С учетом  ИПЦ факт  2021-6,7%, 2022-13,8%, прогнозного ИПЦ 2023-5,8%,2024-107,2% скорректированные операционные расходы на 2024 год  составят: 2083,77 тыс. руб.
</t>
  </si>
  <si>
    <t xml:space="preserve">2.С учетом операционных расходов,индекса эффективности операционных расходов -1%,  учитывая расходы на электроэнергию, величину корректировки за 2022 год, величину сглаживания (+382,37) тыс. руб., НВВ на 2024 год составит: 2370,40 тыс. руб. </t>
  </si>
  <si>
    <t>1. Операционные расходы. Предприятием предложены операционные расходы на 2024 год  в размере -2987,09 тыс.руб.
Операционные расходы устанавливаются на каждый год долгосрочного периода регулирования путём индексации базового уровня операционных расходов. Базовый уровень операционных расходов на 2020 год был утверждён в размере 997,37 тыс. руб.
С учетом  ИПЦ факт  2021-6,7%, 2022-13,8%, прогнозного ИПЦ 2023-5,8%,2024-107,2% скорректированные операционные расходы на 2024 год  составят: 1299,04 тыс. руб.</t>
  </si>
  <si>
    <t xml:space="preserve">2.С учетом операционных расходов,индекса эффективности операционных расходов -1%,  учитывая величину корректировки за 2022 год, величину сглаживания (+127,08) тыс. руб., НВВ на 2024 год составит: 1230,13 тыс. руб. </t>
  </si>
  <si>
    <t>Заключение.  
1.Экспертами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 
2.Ответственность за достоверность представленных документов несёт Филиал ПАО "Авиационный комплекс им.С.В.Ильюшина"-Авиастар. 
 3.Проделанная в процессе экспертизы работа не означает проведения полной и всеобъемлющей проверки финансово-хозяйственной деятельности Филиал ПАО "Авиационный комплекс им.С.В.Ильюшина"-Авиастар с целью выявления всех возможных нарушений норм действующего законодательства. 
 4.Выводы экспертов, приведённые в настоящем Заключении, основывались исключительно на результатах экспертизы представленных расчётных документов. 
5.Предприятие применяет классическую систему налогообложения.</t>
  </si>
  <si>
    <t>Башаева М.Ю.____________
Мизурева Н.Е.____________
Чукмарова Г.Р.___________
Аймятова Р.К.____________
Согласовано: 
Руководитель Агентства по регулированию цен и тарифов Ульяновской области__________________________С.М.Курбатов</t>
  </si>
  <si>
    <t>По результатам проведения экспертизы тарифов на транспортировку поверхностных сточных вод для Филиала ПАО "Авиационный комплекс им.С.В.Ильюшина"-Авиастар, эксперты предлагают считать экономически обоснованными  тарифы на 2024 в следующих размерах: 
1) на территории МО "г. Ульяновск": 
- на период с 01.01.2024 по 30.06.2024 - 3,46 руб./1м3 без ндс;
 -на период с 01.07.2024 по 31.12.2024 – 3,46 руб./куб.м без ндс.</t>
  </si>
  <si>
    <t>2) на территории МО "Чердаклинский район":
 - на период с 01.01.2024 по 30.06.2024 - 2,38 руб./1м3 без ндс;
 -на период с 01.07.2024 по 31.12.2024 – 2,39 руб./куб.м без ндс.</t>
  </si>
  <si>
    <t>Ульяновская область / 2024 / "Филиал ПАО "Авиационный комплекс им. С.В. Ильюшина" - Авиастар" (ИНН:7714027882, КПП:732843001) / ДПР: 2020-2024</t>
  </si>
  <si>
    <t>об установлении тарифов в сфере водоотведения методом индексации (корректировка)</t>
  </si>
  <si>
    <t>на 2024 год долгосрочного периода регулирования тарифов 2020-2024 гг.</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</si>
  <si>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</si>
  <si>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</si>
  <si>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</si>
  <si>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</si>
  <si>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</si>
  <si>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(Водоотведение) - тариф на транспортировку сточных вод</t>
  </si>
  <si>
    <t>Вид сточных вод</t>
  </si>
  <si>
    <t>Первый год долгосрочного периода регулирования, предложенный организацией</t>
  </si>
  <si>
    <t>Тариф 2</t>
  </si>
  <si>
    <t>Тариф 2 (Водоотведение) - тариф на транспортировку сточных вод</t>
  </si>
  <si>
    <t>2022 год</t>
  </si>
  <si>
    <t>2023 год</t>
  </si>
  <si>
    <t>2024 год</t>
  </si>
  <si>
    <t>Биологические очистные сооружения::ед.</t>
  </si>
  <si>
    <t>Канализационные насосные станции::ед.</t>
  </si>
  <si>
    <t>Канализационные сети::км</t>
  </si>
  <si>
    <t>КНС с сетями :: система хозбытовой канализации АО"Авиастар-СП" :: г Ульяновск / Антонова / 1</t>
  </si>
  <si>
    <t>сеть :: Сети канализации [ОСП "Международный аэропорт "Ульяновск-Восточный"] :: рп Чердаклы / нет / нет</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</si>
  <si>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</si>
  <si>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</si>
  <si>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</si>
  <si>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</si>
  <si>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</si>
  <si>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</si>
  <si>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</si>
  <si>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</si>
  <si>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</si>
  <si>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</si>
  <si>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2025Предложение организации</t>
  </si>
  <si>
    <t>2025Принято органом регулирования</t>
  </si>
  <si>
    <t>2026Предложение организации</t>
  </si>
  <si>
    <t>2026Принято органом регулирования</t>
  </si>
  <si>
    <t>2027Предложение организации</t>
  </si>
  <si>
    <t>2027Принято органом регулирования</t>
  </si>
  <si>
    <t>2028Предложение организации</t>
  </si>
  <si>
    <t>2028Принято органом регулирования</t>
  </si>
  <si>
    <t>2029Предложение организации</t>
  </si>
  <si>
    <t>2029Принято органом регулирования</t>
  </si>
  <si>
    <t>2030Предложение организации</t>
  </si>
  <si>
    <t>2030Принято органом регулирования</t>
  </si>
  <si>
    <t>2031Предложение организации</t>
  </si>
  <si>
    <t>2031Принято органом регулирования</t>
  </si>
  <si>
    <t>2032Предложение организации</t>
  </si>
  <si>
    <t>2032Принято органом регулирования</t>
  </si>
  <si>
    <t>2033Предложение организации</t>
  </si>
  <si>
    <t>2033Принято органом регулирования</t>
  </si>
  <si>
    <t>2025 год</t>
  </si>
  <si>
    <t>2026 год</t>
  </si>
  <si>
    <t>2027 год</t>
  </si>
  <si>
    <t>2028 год</t>
  </si>
  <si>
    <t>2029 год</t>
  </si>
  <si>
    <t>2030 год</t>
  </si>
  <si>
    <t>2031 год</t>
  </si>
  <si>
    <t>2032 год</t>
  </si>
  <si>
    <t>2033 год</t>
  </si>
  <si>
    <t xml:space="preserve"> </t>
  </si>
  <si>
    <t>ΔHBBKi-2</t>
  </si>
  <si>
    <t>ТВФi-2</t>
  </si>
  <si>
    <t>HBBФi-2</t>
  </si>
  <si>
    <t>ОРФi-2</t>
  </si>
  <si>
    <t>Н РФi-2</t>
  </si>
  <si>
    <t>РТФi-2</t>
  </si>
  <si>
    <t>АФi-2</t>
  </si>
  <si>
    <t>ПРi-2</t>
  </si>
  <si>
    <t>ПРГО Фi-2</t>
  </si>
  <si>
    <t>ΔИi-4</t>
  </si>
  <si>
    <t>ΔЦПi-4</t>
  </si>
  <si>
    <t>ΔРЕЗi-2</t>
  </si>
  <si>
    <t>ΔРЕЗ+i-2</t>
  </si>
  <si>
    <t>ΔРЕЗ-i-2</t>
  </si>
  <si>
    <t>ΔИi-2</t>
  </si>
  <si>
    <t>ΔЦПi-2</t>
  </si>
  <si>
    <t>2022отклонение факта по данным организации к факту принятому органом регулирования</t>
  </si>
  <si>
    <t>2024Отклонение, %</t>
  </si>
  <si>
    <t>2025Отклонение, %</t>
  </si>
  <si>
    <t>2026Отклонение, %</t>
  </si>
  <si>
    <t>2027Отклонение, %</t>
  </si>
  <si>
    <t>2028Отклонение, %</t>
  </si>
  <si>
    <t>2029Отклонение, %</t>
  </si>
  <si>
    <t>2030Отклонение, %</t>
  </si>
  <si>
    <t>2031Отклонение, %</t>
  </si>
  <si>
    <t>2032Отклонение, %</t>
  </si>
  <si>
    <t>2033Отклонение, %</t>
  </si>
  <si>
    <t>2034Предложение организации</t>
  </si>
  <si>
    <t>2034Принято органом регулирования</t>
  </si>
  <si>
    <t>2034Отклонение, %</t>
  </si>
  <si>
    <t>2035Предложение организации</t>
  </si>
  <si>
    <t>2035Принято органом регулирования</t>
  </si>
  <si>
    <t>2035Отклонение, %</t>
  </si>
  <si>
    <t>2036Предложение организации</t>
  </si>
  <si>
    <t>2036Принято органом регулирования</t>
  </si>
  <si>
    <t>2036Отклонение, %</t>
  </si>
  <si>
    <t>2037Предложение организации</t>
  </si>
  <si>
    <t>2037Принято органом регулирования</t>
  </si>
  <si>
    <t>2037Отклонение, %</t>
  </si>
  <si>
    <t>2038Предложение организации</t>
  </si>
  <si>
    <t>2038Принято органом регулирования</t>
  </si>
  <si>
    <t>2038Отклонение, %</t>
  </si>
  <si>
    <t>2039Предложение организации</t>
  </si>
  <si>
    <t>2039Принято органом регулирования</t>
  </si>
  <si>
    <t>2039Отклонение, %</t>
  </si>
  <si>
    <t>2040Предложение организации</t>
  </si>
  <si>
    <t>2040Принято органом регулирования</t>
  </si>
  <si>
    <t>2040Отклонение, %</t>
  </si>
  <si>
    <t>2041Предложение организации</t>
  </si>
  <si>
    <t>2041Принято органом регулирования</t>
  </si>
  <si>
    <t>2041Отклонение, %</t>
  </si>
  <si>
    <t>2042Предложение организации</t>
  </si>
  <si>
    <t>2042Принято органом регулирования</t>
  </si>
  <si>
    <t>2042Отклонение, %</t>
  </si>
  <si>
    <t>2043Предложение организации</t>
  </si>
  <si>
    <t>2043Принято органом регулирования</t>
  </si>
  <si>
    <t>2043Отклонение, %</t>
  </si>
  <si>
    <t>2044Предложение организации</t>
  </si>
  <si>
    <t>2044Принято органом регулирования</t>
  </si>
  <si>
    <t>2044Отклонение, %</t>
  </si>
  <si>
    <t>2045Предложение организации</t>
  </si>
  <si>
    <t>2045Принято органом регулирования</t>
  </si>
  <si>
    <t>2045Отклонение, %</t>
  </si>
  <si>
    <t>2046Предложение организации</t>
  </si>
  <si>
    <t>2046Принято органом регулирования</t>
  </si>
  <si>
    <t>2046Отклонение, %</t>
  </si>
  <si>
    <t>2047Предложение организации</t>
  </si>
  <si>
    <t>2047Принято органом регулирования</t>
  </si>
  <si>
    <t>2047Отклонение, %</t>
  </si>
  <si>
    <t>2048Предложение организации</t>
  </si>
  <si>
    <t>2048Принято органом регулирования</t>
  </si>
  <si>
    <t>2048Отклонение, %</t>
  </si>
  <si>
    <t>2049Предложение организации</t>
  </si>
  <si>
    <t>2049Принято органом регулирования</t>
  </si>
  <si>
    <t>2049Отклонение, %</t>
  </si>
  <si>
    <t>2050Предложение организации</t>
  </si>
  <si>
    <t>2050Принято органом регулирования</t>
  </si>
  <si>
    <t>2050Отклонение, %</t>
  </si>
  <si>
    <t>2051Предложение организации</t>
  </si>
  <si>
    <t>2051Принято органом регулирования</t>
  </si>
  <si>
    <t>2051Отклонение, %</t>
  </si>
  <si>
    <t>2052Предложение организации</t>
  </si>
  <si>
    <t>2052Принято органом регулирования</t>
  </si>
  <si>
    <t>2052Отклонение, %</t>
  </si>
  <si>
    <t>2053Предложение организации</t>
  </si>
  <si>
    <t>2053Принято органом регулирования</t>
  </si>
  <si>
    <t>2053Отклонение, %</t>
  </si>
  <si>
    <t>2054Предложение организации</t>
  </si>
  <si>
    <t>2054Принято органом регулирования</t>
  </si>
  <si>
    <t>2054Отклонение, %</t>
  </si>
  <si>
    <t>2055Предложение организации</t>
  </si>
  <si>
    <t>2055Принято органом регулирования</t>
  </si>
  <si>
    <t>2055Отклонение, %</t>
  </si>
  <si>
    <t>2056Предложение организации</t>
  </si>
  <si>
    <t>2056Принято органом регулирования</t>
  </si>
  <si>
    <t>2056Отклонение, %</t>
  </si>
  <si>
    <t>2057Предложение организации</t>
  </si>
  <si>
    <t>2057Принято органом регулирования</t>
  </si>
  <si>
    <t>2057Отклонение, %</t>
  </si>
  <si>
    <t>2058Предложение организации</t>
  </si>
  <si>
    <t>2058Принято органом регулирования</t>
  </si>
  <si>
    <t>2058Отклонение, %</t>
  </si>
  <si>
    <t>2059Предложение организации</t>
  </si>
  <si>
    <t>2059Принято органом регулирования</t>
  </si>
  <si>
    <t>2059Отклонение, %</t>
  </si>
  <si>
    <t>2060Предложение организации</t>
  </si>
  <si>
    <t>2060Принято органом регулирования</t>
  </si>
  <si>
    <t>2060Отклонение, %</t>
  </si>
  <si>
    <t>2061Предложение организации</t>
  </si>
  <si>
    <t>2061Принято органом регулирования</t>
  </si>
  <si>
    <t>2061Отклонение, %</t>
  </si>
  <si>
    <t>2062Предложение организации</t>
  </si>
  <si>
    <t>2062Принято органом регулирования</t>
  </si>
  <si>
    <t>2062Отклонение, %</t>
  </si>
  <si>
    <t>2063Предложение организации</t>
  </si>
  <si>
    <t>2063Принято органом регулирования</t>
  </si>
  <si>
    <t>2063Отклонение, %</t>
  </si>
  <si>
    <t>2064Предложение организации</t>
  </si>
  <si>
    <t>2064Принято органом регулирования</t>
  </si>
  <si>
    <t>2064Отклонение, %</t>
  </si>
  <si>
    <t>2065Предложение организации</t>
  </si>
  <si>
    <t>2065Принято органом регулирования</t>
  </si>
  <si>
    <t>2065Отклонение, %</t>
  </si>
  <si>
    <t>2066Предложение организации</t>
  </si>
  <si>
    <t>2066Принято органом регулирования</t>
  </si>
  <si>
    <t>2066Отклонение, %</t>
  </si>
  <si>
    <t>2067Предложение организации</t>
  </si>
  <si>
    <t>2067Принято органом регулирования</t>
  </si>
  <si>
    <t>2067Отклонение, %</t>
  </si>
  <si>
    <t>2068Предложение организации</t>
  </si>
  <si>
    <t>2068Принято органом регулирования</t>
  </si>
  <si>
    <t>2068Отклонение, %</t>
  </si>
  <si>
    <t>2069Предложение организации</t>
  </si>
  <si>
    <t>2069Принято органом регулирования</t>
  </si>
  <si>
    <t>2069Отклонение, %</t>
  </si>
  <si>
    <t>2070Предложение организации</t>
  </si>
  <si>
    <t>2070Принято органом регулирования</t>
  </si>
  <si>
    <t>2070Отклонение, %</t>
  </si>
  <si>
    <t>2071Предложение организации</t>
  </si>
  <si>
    <t>2071Принято органом регулирования</t>
  </si>
  <si>
    <t>2071Отклонение, %</t>
  </si>
  <si>
    <t>2072Предложение организации</t>
  </si>
  <si>
    <t>2072Принято органом регулирования</t>
  </si>
  <si>
    <t>2072Отклонение, %</t>
  </si>
  <si>
    <t>2073Предложение организации</t>
  </si>
  <si>
    <t>2073Принято органом регулирования</t>
  </si>
  <si>
    <t>2073Отклонение, %</t>
  </si>
  <si>
    <t>2034 год</t>
  </si>
  <si>
    <t>2035 год</t>
  </si>
  <si>
    <t>2036 год</t>
  </si>
  <si>
    <t>2037 год</t>
  </si>
  <si>
    <t>2038 год</t>
  </si>
  <si>
    <t>2039 год</t>
  </si>
  <si>
    <t>2040 год</t>
  </si>
  <si>
    <t>2041 год</t>
  </si>
  <si>
    <t>2042 год</t>
  </si>
  <si>
    <t>2043 год</t>
  </si>
  <si>
    <t>2044 год</t>
  </si>
  <si>
    <t>2045 год</t>
  </si>
  <si>
    <t>2046 год</t>
  </si>
  <si>
    <t>2047 год</t>
  </si>
  <si>
    <t>2048 год</t>
  </si>
  <si>
    <t>2049 год</t>
  </si>
  <si>
    <t>2050 год</t>
  </si>
  <si>
    <t>2051 год</t>
  </si>
  <si>
    <t>2052 год</t>
  </si>
  <si>
    <t>2053 год</t>
  </si>
  <si>
    <t>2054 год</t>
  </si>
  <si>
    <t>2055 год</t>
  </si>
  <si>
    <t>2056 год</t>
  </si>
  <si>
    <t>2057 год</t>
  </si>
  <si>
    <t>2058 год</t>
  </si>
  <si>
    <t>2059 год</t>
  </si>
  <si>
    <t>2060 год</t>
  </si>
  <si>
    <t>2061 год</t>
  </si>
  <si>
    <t>2062 год</t>
  </si>
  <si>
    <t>2063 год</t>
  </si>
  <si>
    <t>2064 год</t>
  </si>
  <si>
    <t>2065 год</t>
  </si>
  <si>
    <t>2066 год</t>
  </si>
  <si>
    <t>2067 год</t>
  </si>
  <si>
    <t>2068 год</t>
  </si>
  <si>
    <t>2069 год</t>
  </si>
  <si>
    <t>2070 год</t>
  </si>
  <si>
    <t>2071 год</t>
  </si>
  <si>
    <t>2072 год</t>
  </si>
  <si>
    <t>2073 год</t>
  </si>
  <si>
    <t>2020 год</t>
  </si>
  <si>
    <t>2021 год</t>
  </si>
  <si>
    <t>(должность)</t>
  </si>
  <si>
    <t>(ФИО)</t>
  </si>
  <si>
    <t>(подпись)</t>
  </si>
  <si>
    <t>49, лет</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</si>
</sst>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 _₽_-;\-* #,##0\ _₽_-;_-* &quot;-&quot;\ _₽_-;_-@_-"/>
    <numFmt numFmtId="43" formatCode="_-* #,##0.00\ _₽_-;\-* #,##0.00\ _₽_-;_-* &quot;-&quot;??\ _₽_-;_-@_-"/>
    <numFmt numFmtId="164" formatCode="_(&quot;₽&quot;* #,##0_);_(&quot;₽&quot;* \(#,##0\);_(&quot;₽&quot;* &quot;-&quot;_);_(@_)"/>
    <numFmt numFmtId="165" formatCode="_(&quot;₽&quot;* #,##0.00_);_(&quot;₽&quot;* \(#,##0.00\);_(&quot;₽&quot;* &quot;-&quot;??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08">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b/>
      <sz val="9"/>
      <color indexed="60"/>
      <name val="Tahoma"/>
      <family val="2"/>
      <charset val="204"/>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vertAlign val="superscript"/>
      <sz val="9"/>
      <color theme="1"/>
      <name val="Tahoma"/>
      <family val="2"/>
      <charset val="204"/>
    </font>
    <font>
      <vertAlign val="subscript"/>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vertAlign val="superscript"/>
      <sz val="9"/>
      <color theme="1"/>
      <name val="Tahoma"/>
      <family val="2"/>
      <charset val="204"/>
    </font>
    <font>
      <b/>
      <vertAlign val="subscript"/>
      <sz val="9"/>
      <color theme="1"/>
      <name val="Tahoma"/>
      <family val="2"/>
      <charset val="204"/>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u/>
      <sz val="9"/>
      <color rgb="FF000080"/>
      <name val="Tahoma"/>
      <family val="2"/>
      <charset val="204"/>
    </font>
    <font>
      <sz val="12"/>
      <color theme="1"/>
      <name val="Tahoma"/>
      <family val="2"/>
      <charset val="204"/>
    </font>
    <font>
      <sz val="16"/>
      <color rgb="FF0070C0"/>
      <name val="Tahoma"/>
      <family val="2"/>
      <charset val="204"/>
    </font>
    <font>
      <sz val="16"/>
      <name val="Tahoma"/>
      <family val="2"/>
      <charset val="204"/>
    </font>
    <font>
      <b/>
      <sz val="16"/>
      <name val="Tahoma"/>
      <family val="2"/>
      <charset val="204"/>
    </font>
    <font>
      <b/>
      <sz val="16"/>
      <color rgb="FF0070C0"/>
      <name val="Tahoma"/>
      <family val="2"/>
      <charset val="204"/>
    </font>
    <font>
      <sz val="20"/>
      <color rgb="FF0070C0"/>
      <name val="Tahoma"/>
      <family val="2"/>
      <charset val="204"/>
    </font>
    <font>
      <sz val="12"/>
      <color rgb="FF0070C0"/>
      <name val="Tahoma"/>
      <family val="2"/>
      <charset val="204"/>
    </font>
    <font>
      <sz val="18"/>
      <color rgb="FF0070C0"/>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74">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style="thin">
        <color indexed="22"/>
      </left>
      <right style="thin">
        <color theme="0" tint="-0.249977111117893"/>
      </right>
      <top style="thin">
        <color indexed="22"/>
      </top>
      <bottom style="thin">
        <color indexed="22"/>
      </bottom>
      <diagonal/>
    </border>
    <border>
      <left style="thin">
        <color theme="0" tint="-0.34998626667073579"/>
      </left>
      <right/>
      <top style="thin">
        <color theme="0" tint="-0.249977111117893"/>
      </top>
      <bottom style="thin">
        <color theme="0" tint="-0.34998626667073579"/>
      </bottom>
      <diagonal/>
    </border>
    <border>
      <left/>
      <right/>
      <top/>
      <bottom style="thin">
        <color indexed="64"/>
      </bottom>
      <diagonal/>
    </border>
  </borders>
  <cellStyleXfs count="114">
    <xf numFmtId="49" fontId="0" fillId="0" borderId="0" applyBorder="0">
      <alignment vertical="top"/>
    </xf>
    <xf numFmtId="0" fontId="8" fillId="0" borderId="0"/>
    <xf numFmtId="167" fontId="8" fillId="0" borderId="0"/>
    <xf numFmtId="0" fontId="44" fillId="0" borderId="0"/>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0" fontId="25" fillId="0" borderId="1" applyNumberFormat="0" applyAlignment="0">
      <protection locked="0"/>
    </xf>
    <xf numFmtId="166" fontId="9" fillId="0" borderId="0" applyFont="0" applyFill="0" applyBorder="0" applyAlignment="0" applyProtection="0"/>
    <xf numFmtId="168" fontId="11" fillId="2" borderId="0">
      <protection locked="0"/>
    </xf>
    <xf numFmtId="0" fontId="22" fillId="0" borderId="0" applyFill="0" applyBorder="0" applyProtection="0">
      <alignment vertical="center"/>
    </xf>
    <xf numFmtId="169" fontId="11" fillId="2" borderId="0">
      <protection locked="0"/>
    </xf>
    <xf numFmtId="170" fontId="11" fillId="2" borderId="0">
      <protection locked="0"/>
    </xf>
    <xf numFmtId="0" fontId="23" fillId="0" borderId="0" applyNumberFormat="0" applyFill="0" applyBorder="0" applyAlignment="0" applyProtection="0">
      <alignment vertical="top"/>
      <protection locked="0"/>
    </xf>
    <xf numFmtId="0" fontId="25" fillId="3" borderId="1" applyNumberFormat="0" applyAlignment="0"/>
    <xf numFmtId="0" fontId="24" fillId="0" borderId="0" applyNumberFormat="0" applyFill="0" applyBorder="0" applyAlignment="0" applyProtection="0">
      <alignment vertical="top"/>
      <protection locked="0"/>
    </xf>
    <xf numFmtId="0" fontId="12" fillId="0" borderId="0" applyNumberFormat="0" applyFill="0" applyBorder="0" applyAlignment="0" applyProtection="0"/>
    <xf numFmtId="0" fontId="10" fillId="0" borderId="0"/>
    <xf numFmtId="0" fontId="22" fillId="0" borderId="0" applyFill="0" applyBorder="0" applyProtection="0">
      <alignment vertical="center"/>
    </xf>
    <xf numFmtId="0" fontId="22" fillId="0" borderId="0" applyFill="0" applyBorder="0" applyProtection="0">
      <alignment vertical="center"/>
    </xf>
    <xf numFmtId="49" fontId="37" fillId="4" borderId="2" applyNumberFormat="0">
      <alignment horizontal="center" vertical="center"/>
    </xf>
    <xf numFmtId="0" fontId="20" fillId="5" borderId="1" applyNumberFormat="0" applyAlignment="0" applyProtection="0"/>
    <xf numFmtId="0" fontId="98"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8" fillId="0" borderId="0" applyBorder="0">
      <alignment horizontal="center" vertical="center" wrapText="1"/>
    </xf>
    <xf numFmtId="0" fontId="13" fillId="0" borderId="3" applyBorder="0">
      <alignment horizontal="center" vertical="center" wrapText="1"/>
    </xf>
    <xf numFmtId="4" fontId="11" fillId="2" borderId="4" applyBorder="0">
      <alignment horizontal="right"/>
    </xf>
    <xf numFmtId="49" fontId="11" fillId="0" borderId="0" applyBorder="0">
      <alignment vertical="top"/>
    </xf>
    <xf numFmtId="0" fontId="41" fillId="6" borderId="0" applyNumberFormat="0" applyBorder="0" applyAlignment="0">
      <alignment horizontal="left" vertical="center"/>
    </xf>
    <xf numFmtId="0" fontId="7" fillId="0" borderId="0"/>
    <xf numFmtId="49" fontId="11" fillId="6" borderId="0" applyBorder="0">
      <alignment vertical="top"/>
    </xf>
    <xf numFmtId="49" fontId="11" fillId="6" borderId="0" applyBorder="0">
      <alignment vertical="top"/>
    </xf>
    <xf numFmtId="49" fontId="11" fillId="0" borderId="0" applyBorder="0">
      <alignment vertical="top"/>
    </xf>
    <xf numFmtId="49" fontId="11" fillId="0" borderId="0" applyBorder="0">
      <alignment vertical="top"/>
    </xf>
    <xf numFmtId="0" fontId="7" fillId="0" borderId="0"/>
    <xf numFmtId="49" fontId="11" fillId="0" borderId="0" applyBorder="0">
      <alignment vertical="top"/>
    </xf>
    <xf numFmtId="49" fontId="11" fillId="0" borderId="0" applyBorder="0">
      <alignment vertical="top"/>
    </xf>
    <xf numFmtId="0" fontId="11" fillId="0" borderId="0">
      <alignment horizontal="left" vertical="center"/>
    </xf>
    <xf numFmtId="0" fontId="27" fillId="0" borderId="0"/>
    <xf numFmtId="4" fontId="11" fillId="7" borderId="0" applyBorder="0">
      <alignment horizontal="right"/>
    </xf>
    <xf numFmtId="0" fontId="47" fillId="0" borderId="0" applyNumberFormat="0" applyFill="0" applyBorder="0" applyAlignment="0" applyProtection="0"/>
    <xf numFmtId="0" fontId="48" fillId="0" borderId="20" applyNumberFormat="0" applyFill="0" applyAlignment="0" applyProtection="0"/>
    <xf numFmtId="0" fontId="49" fillId="0" borderId="21" applyNumberFormat="0" applyFill="0" applyAlignment="0" applyProtection="0"/>
    <xf numFmtId="0" fontId="50" fillId="0" borderId="22" applyNumberFormat="0" applyFill="0" applyAlignment="0" applyProtection="0"/>
    <xf numFmtId="0" fontId="50" fillId="0" borderId="0" applyNumberFormat="0" applyFill="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3" fillId="15" borderId="0" applyNumberFormat="0" applyBorder="0" applyAlignment="0" applyProtection="0"/>
    <xf numFmtId="0" fontId="54" fillId="16" borderId="23" applyNumberFormat="0" applyAlignment="0" applyProtection="0"/>
    <xf numFmtId="0" fontId="55" fillId="16" borderId="24" applyNumberFormat="0" applyAlignment="0" applyProtection="0"/>
    <xf numFmtId="0" fontId="56" fillId="0" borderId="25" applyNumberFormat="0" applyFill="0" applyAlignment="0" applyProtection="0"/>
    <xf numFmtId="0" fontId="57" fillId="17" borderId="26" applyNumberFormat="0" applyAlignment="0" applyProtection="0"/>
    <xf numFmtId="0" fontId="58" fillId="0" borderId="0" applyNumberFormat="0" applyFill="0" applyBorder="0" applyAlignment="0" applyProtection="0"/>
    <xf numFmtId="0" fontId="11" fillId="18" borderId="27" applyNumberFormat="0" applyFont="0" applyAlignment="0" applyProtection="0"/>
    <xf numFmtId="0" fontId="59" fillId="0" borderId="0" applyNumberFormat="0" applyFill="0" applyBorder="0" applyAlignment="0" applyProtection="0"/>
    <xf numFmtId="0" fontId="60" fillId="0" borderId="28" applyNumberFormat="0" applyFill="0" applyAlignment="0" applyProtection="0"/>
    <xf numFmtId="0" fontId="61"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62" fillId="36" borderId="0" applyNumberFormat="0" applyBorder="0" applyAlignment="0" applyProtection="0"/>
    <xf numFmtId="0" fontId="62" fillId="37" borderId="0" applyNumberFormat="0" applyBorder="0" applyAlignment="0" applyProtection="0"/>
    <xf numFmtId="0" fontId="61" fillId="38" borderId="0" applyNumberFormat="0" applyBorder="0" applyAlignment="0" applyProtection="0"/>
    <xf numFmtId="0" fontId="61" fillId="39" borderId="0" applyNumberFormat="0" applyBorder="0" applyAlignment="0" applyProtection="0"/>
    <xf numFmtId="0" fontId="62" fillId="40" borderId="0" applyNumberFormat="0" applyBorder="0" applyAlignment="0" applyProtection="0"/>
    <xf numFmtId="0" fontId="62" fillId="41" borderId="0" applyNumberFormat="0" applyBorder="0" applyAlignment="0" applyProtection="0"/>
    <xf numFmtId="0" fontId="61" fillId="42" borderId="0" applyNumberFormat="0" applyBorder="0" applyAlignment="0" applyProtection="0"/>
    <xf numFmtId="43" fontId="11" fillId="0" borderId="0" applyFont="0" applyFill="0" applyBorder="0" applyAlignment="0" applyProtection="0"/>
    <xf numFmtId="41" fontId="11" fillId="0" borderId="0" applyFont="0" applyFill="0" applyBorder="0" applyAlignment="0" applyProtection="0"/>
    <xf numFmtId="165" fontId="11" fillId="0" borderId="0" applyFont="0" applyFill="0" applyBorder="0" applyAlignment="0" applyProtection="0"/>
    <xf numFmtId="164" fontId="11" fillId="0" borderId="0" applyFont="0" applyFill="0" applyBorder="0" applyAlignment="0" applyProtection="0"/>
    <xf numFmtId="49" fontId="63" fillId="0" borderId="0" applyNumberFormat="0" applyFill="0" applyBorder="0" applyAlignment="0" applyProtection="0">
      <alignment vertical="top"/>
    </xf>
    <xf numFmtId="0" fontId="65" fillId="0" borderId="0"/>
    <xf numFmtId="0" fontId="6" fillId="0" borderId="0"/>
    <xf numFmtId="49" fontId="11" fillId="0" borderId="0" applyBorder="0">
      <alignment vertical="top"/>
    </xf>
    <xf numFmtId="49" fontId="46" fillId="0" borderId="0" applyNumberFormat="0" applyFill="0" applyBorder="0" applyAlignment="0" applyProtection="0">
      <alignment vertical="top"/>
    </xf>
    <xf numFmtId="0" fontId="6" fillId="0" borderId="0"/>
    <xf numFmtId="0" fontId="6" fillId="0" borderId="0"/>
    <xf numFmtId="0" fontId="6" fillId="0" borderId="0"/>
    <xf numFmtId="0" fontId="7" fillId="0" borderId="0"/>
    <xf numFmtId="0" fontId="7" fillId="0" borderId="0"/>
    <xf numFmtId="0" fontId="6" fillId="0" borderId="0"/>
    <xf numFmtId="0" fontId="65" fillId="0" borderId="0"/>
    <xf numFmtId="0" fontId="6" fillId="0" borderId="0"/>
    <xf numFmtId="0" fontId="7" fillId="0" borderId="0"/>
    <xf numFmtId="0" fontId="7" fillId="0" borderId="0" applyFill="0" applyBorder="0"/>
    <xf numFmtId="0" fontId="4" fillId="0" borderId="0"/>
    <xf numFmtId="0" fontId="3" fillId="0" borderId="0"/>
    <xf numFmtId="0" fontId="2" fillId="0" borderId="0"/>
  </cellStyleXfs>
  <cellXfs count="1194">
    <xf numFmtId="49" fontId="0" fillId="0" borderId="0" xfId="0">
      <alignment vertical="top"/>
    </xf>
    <xf numFmtId="49" fontId="19" fillId="0" borderId="0" xfId="0" applyFont="1" applyFill="1" applyBorder="1" applyAlignment="1" applyProtection="1">
      <alignment vertical="top"/>
    </xf>
    <xf numFmtId="49" fontId="11" fillId="0" borderId="0" xfId="0" applyFont="1" applyProtection="1">
      <alignment vertical="top"/>
    </xf>
    <xf numFmtId="0" fontId="17" fillId="0" borderId="0" xfId="0" applyNumberFormat="1" applyFont="1" applyFill="1" applyBorder="1" applyAlignment="1" applyProtection="1">
      <alignment vertical="top"/>
    </xf>
    <xf numFmtId="49" fontId="0" fillId="0" borderId="0" xfId="0" applyProtection="1">
      <alignment vertical="top"/>
    </xf>
    <xf numFmtId="49" fontId="17" fillId="0" borderId="0" xfId="0" applyFont="1" applyFill="1" applyBorder="1" applyAlignment="1" applyProtection="1">
      <alignment vertical="top"/>
    </xf>
    <xf numFmtId="49" fontId="11" fillId="7" borderId="4" xfId="0" applyFont="1" applyFill="1" applyBorder="1" applyAlignment="1" applyProtection="1">
      <alignment horizontal="center" vertical="top"/>
    </xf>
    <xf numFmtId="49" fontId="0" fillId="0" borderId="0" xfId="0" applyNumberFormat="1" applyProtection="1">
      <alignment vertical="top"/>
    </xf>
    <xf numFmtId="49" fontId="11" fillId="0" borderId="0" xfId="48" applyFont="1" applyAlignment="1" applyProtection="1">
      <alignment vertical="center" wrapText="1"/>
    </xf>
    <xf numFmtId="49" fontId="17" fillId="0" borderId="0" xfId="48" applyFont="1" applyAlignment="1" applyProtection="1">
      <alignment vertical="center"/>
    </xf>
    <xf numFmtId="0" fontId="11" fillId="0" borderId="0" xfId="46" applyFont="1" applyProtection="1"/>
    <xf numFmtId="0" fontId="11" fillId="0" borderId="0" xfId="46" applyFont="1"/>
    <xf numFmtId="49" fontId="11" fillId="0" borderId="0" xfId="45" applyFont="1" applyProtection="1">
      <alignment vertical="top"/>
    </xf>
    <xf numFmtId="49" fontId="11" fillId="0" borderId="0" xfId="45" applyProtection="1">
      <alignment vertical="top"/>
    </xf>
    <xf numFmtId="0" fontId="33" fillId="0" borderId="0" xfId="42" applyNumberFormat="1" applyFont="1" applyFill="1" applyAlignment="1" applyProtection="1">
      <alignment wrapText="1"/>
    </xf>
    <xf numFmtId="49" fontId="34" fillId="0" borderId="0" xfId="42" applyFont="1" applyFill="1" applyAlignment="1" applyProtection="1">
      <alignment wrapText="1"/>
    </xf>
    <xf numFmtId="49" fontId="34" fillId="0" borderId="0" xfId="42" applyFont="1" applyFill="1" applyAlignment="1" applyProtection="1">
      <alignment vertical="center" wrapText="1"/>
    </xf>
    <xf numFmtId="49" fontId="35" fillId="0" borderId="0" xfId="42" applyFont="1" applyFill="1" applyAlignment="1" applyProtection="1">
      <alignment wrapText="1"/>
    </xf>
    <xf numFmtId="0" fontId="26" fillId="0" borderId="0" xfId="42" applyNumberFormat="1" applyFont="1" applyFill="1" applyAlignment="1" applyProtection="1">
      <alignment horizontal="left" vertical="center" wrapText="1"/>
    </xf>
    <xf numFmtId="0" fontId="25" fillId="0" borderId="0" xfId="42" applyNumberFormat="1" applyFont="1" applyFill="1" applyAlignment="1" applyProtection="1">
      <alignment vertical="top"/>
    </xf>
    <xf numFmtId="49" fontId="36" fillId="0" borderId="0" xfId="42" applyFont="1" applyFill="1" applyBorder="1" applyAlignment="1" applyProtection="1">
      <alignment wrapText="1"/>
    </xf>
    <xf numFmtId="0" fontId="25" fillId="0" borderId="0" xfId="42" applyNumberFormat="1" applyFont="1" applyFill="1" applyAlignment="1" applyProtection="1">
      <alignment horizontal="left" vertical="top" wrapText="1"/>
    </xf>
    <xf numFmtId="49" fontId="11" fillId="0" borderId="0" xfId="42" applyFont="1" applyFill="1" applyAlignment="1" applyProtection="1">
      <alignment vertical="top" wrapText="1"/>
    </xf>
    <xf numFmtId="49" fontId="34" fillId="0" borderId="0" xfId="42" applyFont="1" applyFill="1" applyBorder="1" applyAlignment="1" applyProtection="1">
      <alignment wrapText="1"/>
    </xf>
    <xf numFmtId="49" fontId="38" fillId="0" borderId="0" xfId="42" applyFont="1" applyFill="1" applyBorder="1" applyAlignment="1" applyProtection="1">
      <alignment wrapText="1"/>
    </xf>
    <xf numFmtId="49" fontId="40" fillId="0" borderId="0" xfId="42" applyFont="1" applyFill="1" applyBorder="1" applyAlignment="1" applyProtection="1">
      <alignment horizontal="left" vertical="center" wrapText="1"/>
    </xf>
    <xf numFmtId="49" fontId="15" fillId="2" borderId="10" xfId="40" applyNumberFormat="1" applyFont="1" applyFill="1" applyBorder="1" applyAlignment="1" applyProtection="1">
      <alignment horizontal="center" vertical="center" wrapText="1"/>
    </xf>
    <xf numFmtId="49" fontId="38" fillId="9" borderId="0" xfId="42" applyFont="1" applyFill="1" applyBorder="1" applyAlignment="1">
      <alignment wrapText="1"/>
    </xf>
    <xf numFmtId="49" fontId="15" fillId="12" borderId="10" xfId="40" applyNumberFormat="1" applyFont="1" applyFill="1" applyBorder="1" applyAlignment="1" applyProtection="1">
      <alignment horizontal="center" vertical="center" wrapText="1"/>
    </xf>
    <xf numFmtId="49" fontId="15" fillId="7" borderId="10" xfId="40" applyNumberFormat="1" applyFont="1" applyFill="1" applyBorder="1" applyAlignment="1" applyProtection="1">
      <alignment horizontal="center" vertical="center" wrapText="1"/>
    </xf>
    <xf numFmtId="49" fontId="15" fillId="11" borderId="10" xfId="40" applyNumberFormat="1" applyFont="1" applyFill="1" applyBorder="1" applyAlignment="1" applyProtection="1">
      <alignment horizontal="center" vertical="center" wrapText="1"/>
    </xf>
    <xf numFmtId="0" fontId="25" fillId="0" borderId="0" xfId="23" applyFont="1" applyFill="1" applyBorder="1" applyAlignment="1" applyProtection="1">
      <alignment horizontal="left" vertical="top" wrapText="1"/>
    </xf>
    <xf numFmtId="0" fontId="25" fillId="0" borderId="0" xfId="23" applyFont="1" applyFill="1" applyBorder="1" applyAlignment="1" applyProtection="1">
      <alignment horizontal="right" vertical="top" wrapText="1"/>
    </xf>
    <xf numFmtId="49" fontId="38" fillId="0" borderId="0" xfId="42" applyFont="1" applyFill="1" applyBorder="1" applyAlignment="1" applyProtection="1">
      <alignment vertical="top" wrapText="1"/>
    </xf>
    <xf numFmtId="49" fontId="18" fillId="0" borderId="0" xfId="32" applyNumberFormat="1" applyFont="1" applyFill="1" applyBorder="1" applyAlignment="1" applyProtection="1">
      <alignment wrapText="1"/>
    </xf>
    <xf numFmtId="49" fontId="18" fillId="0" borderId="0" xfId="32" applyNumberFormat="1" applyFont="1" applyFill="1" applyBorder="1" applyAlignment="1" applyProtection="1">
      <alignment horizontal="left" wrapText="1"/>
    </xf>
    <xf numFmtId="49" fontId="38" fillId="0" borderId="0" xfId="42" applyFont="1" applyFill="1" applyBorder="1" applyAlignment="1" applyProtection="1">
      <alignment horizontal="right" wrapText="1"/>
    </xf>
    <xf numFmtId="0" fontId="11" fillId="0" borderId="12" xfId="46" applyFont="1" applyFill="1" applyBorder="1" applyAlignment="1" applyProtection="1">
      <alignment horizontal="center" vertical="center" wrapText="1"/>
    </xf>
    <xf numFmtId="0" fontId="17" fillId="0" borderId="0" xfId="46" applyFont="1" applyAlignment="1" applyProtection="1">
      <alignment horizontal="center" vertical="center" wrapText="1"/>
    </xf>
    <xf numFmtId="0" fontId="11" fillId="0" borderId="0" xfId="46" applyFont="1" applyAlignment="1" applyProtection="1">
      <alignment vertical="center" wrapText="1"/>
    </xf>
    <xf numFmtId="0" fontId="11" fillId="0" borderId="0" xfId="46" applyFont="1" applyAlignment="1" applyProtection="1">
      <alignment horizontal="left" vertical="center" wrapText="1"/>
    </xf>
    <xf numFmtId="49" fontId="11" fillId="0" borderId="0" xfId="44" applyNumberFormat="1" applyFont="1" applyProtection="1">
      <alignment vertical="top"/>
    </xf>
    <xf numFmtId="49" fontId="11" fillId="0" borderId="0" xfId="39" applyFont="1" applyProtection="1">
      <alignment vertical="top"/>
    </xf>
    <xf numFmtId="49" fontId="0" fillId="0" borderId="0" xfId="0" applyBorder="1" applyAlignment="1">
      <alignment horizontal="left" vertical="center" indent="1"/>
    </xf>
    <xf numFmtId="49" fontId="42" fillId="0" borderId="0" xfId="34" applyNumberFormat="1" applyFont="1" applyFill="1" applyBorder="1" applyAlignment="1" applyProtection="1">
      <alignment horizontal="left" vertical="center" wrapText="1" indent="1"/>
    </xf>
    <xf numFmtId="49" fontId="11" fillId="0" borderId="0" xfId="47">
      <alignment vertical="top"/>
    </xf>
    <xf numFmtId="0" fontId="7" fillId="0" borderId="0" xfId="41"/>
    <xf numFmtId="49" fontId="39" fillId="0" borderId="0" xfId="42" applyFont="1" applyFill="1" applyBorder="1" applyAlignment="1" applyProtection="1">
      <alignment vertical="center" wrapText="1"/>
    </xf>
    <xf numFmtId="49" fontId="39" fillId="0" borderId="0" xfId="42" applyFont="1" applyFill="1" applyBorder="1" applyAlignment="1" applyProtection="1">
      <alignment horizontal="center" vertical="center" wrapText="1"/>
    </xf>
    <xf numFmtId="49" fontId="11" fillId="0" borderId="0" xfId="42" applyFont="1" applyFill="1" applyBorder="1" applyAlignment="1" applyProtection="1">
      <alignment vertical="top" wrapText="1"/>
    </xf>
    <xf numFmtId="49" fontId="34" fillId="0" borderId="0" xfId="42" applyFont="1" applyFill="1" applyBorder="1" applyAlignment="1" applyProtection="1">
      <alignment vertical="center" wrapText="1"/>
    </xf>
    <xf numFmtId="49" fontId="38" fillId="0" borderId="13" xfId="42" applyFont="1" applyFill="1" applyBorder="1" applyAlignment="1" applyProtection="1">
      <alignment wrapText="1"/>
    </xf>
    <xf numFmtId="0" fontId="14" fillId="0" borderId="0" xfId="97" applyFont="1" applyAlignment="1">
      <alignment vertical="center"/>
    </xf>
    <xf numFmtId="0" fontId="68" fillId="0" borderId="0" xfId="97" applyFont="1" applyAlignment="1">
      <alignment vertical="center"/>
    </xf>
    <xf numFmtId="0" fontId="69" fillId="0" borderId="0" xfId="97" applyFont="1" applyAlignment="1">
      <alignment vertical="center"/>
    </xf>
    <xf numFmtId="49" fontId="11" fillId="0" borderId="0" xfId="99" applyAlignment="1">
      <alignment vertical="center" wrapText="1"/>
    </xf>
    <xf numFmtId="49" fontId="11" fillId="0" borderId="0" xfId="99">
      <alignment vertical="top"/>
    </xf>
    <xf numFmtId="49" fontId="11" fillId="0" borderId="0" xfId="99" applyBorder="1" applyAlignment="1">
      <alignment vertical="center" wrapText="1"/>
    </xf>
    <xf numFmtId="49" fontId="17" fillId="0" borderId="0" xfId="99" applyFont="1" applyAlignment="1">
      <alignment vertical="center" wrapText="1"/>
    </xf>
    <xf numFmtId="49" fontId="72" fillId="0" borderId="0" xfId="99" applyFont="1" applyBorder="1" applyAlignment="1">
      <alignment vertical="center" wrapText="1"/>
    </xf>
    <xf numFmtId="49" fontId="29" fillId="0" borderId="0" xfId="99" applyFont="1" applyBorder="1" applyAlignment="1">
      <alignment horizontal="center" vertical="top" wrapText="1"/>
    </xf>
    <xf numFmtId="49" fontId="74" fillId="0" borderId="0" xfId="99" applyFont="1" applyBorder="1" applyAlignment="1">
      <alignment horizontal="center" vertical="top" wrapText="1"/>
    </xf>
    <xf numFmtId="49" fontId="11" fillId="0" borderId="42" xfId="99" applyBorder="1" applyAlignment="1">
      <alignment horizontal="center" vertical="center" wrapText="1"/>
    </xf>
    <xf numFmtId="49" fontId="11" fillId="11" borderId="43" xfId="99" applyFill="1" applyBorder="1" applyAlignment="1" applyProtection="1">
      <alignment horizontal="left" vertical="center" wrapText="1" indent="1"/>
      <protection locked="0"/>
    </xf>
    <xf numFmtId="49" fontId="11" fillId="0" borderId="0" xfId="99" applyAlignment="1">
      <alignment horizontal="left" vertical="center" wrapText="1"/>
    </xf>
    <xf numFmtId="0" fontId="64" fillId="0" borderId="0" xfId="98" applyFont="1"/>
    <xf numFmtId="49" fontId="11" fillId="0" borderId="30" xfId="49" applyNumberFormat="1" applyBorder="1" applyAlignment="1">
      <alignment horizontal="center" vertical="center"/>
    </xf>
    <xf numFmtId="0" fontId="77" fillId="0" borderId="0" xfId="98" applyFont="1"/>
    <xf numFmtId="0" fontId="11" fillId="0" borderId="0" xfId="98" applyFont="1"/>
    <xf numFmtId="0" fontId="64" fillId="0" borderId="0" xfId="103" applyFont="1"/>
    <xf numFmtId="0" fontId="64" fillId="0" borderId="0" xfId="97" applyFont="1"/>
    <xf numFmtId="0" fontId="64" fillId="0" borderId="0" xfId="103" applyFont="1" applyAlignment="1">
      <alignment horizontal="center"/>
    </xf>
    <xf numFmtId="0" fontId="11" fillId="0" borderId="30" xfId="97" applyFont="1" applyBorder="1" applyAlignment="1">
      <alignment horizontal="center" vertical="center"/>
    </xf>
    <xf numFmtId="0" fontId="64" fillId="44" borderId="30" xfId="97" applyFont="1" applyFill="1" applyBorder="1" applyAlignment="1">
      <alignment horizontal="left" vertical="center" wrapText="1"/>
    </xf>
    <xf numFmtId="0" fontId="64" fillId="0" borderId="30" xfId="97" applyFont="1" applyBorder="1" applyAlignment="1">
      <alignment horizontal="justify" vertical="center" wrapText="1"/>
    </xf>
    <xf numFmtId="0" fontId="64" fillId="0" borderId="30" xfId="97" applyFont="1" applyBorder="1" applyAlignment="1">
      <alignment horizontal="center" vertical="center"/>
    </xf>
    <xf numFmtId="0" fontId="64" fillId="0" borderId="30" xfId="97" applyFont="1" applyBorder="1" applyAlignment="1">
      <alignment horizontal="left" vertical="center" wrapText="1"/>
    </xf>
    <xf numFmtId="0" fontId="11" fillId="0" borderId="30" xfId="97" applyFont="1" applyBorder="1" applyAlignment="1">
      <alignment horizontal="left" vertical="center" wrapText="1"/>
    </xf>
    <xf numFmtId="0" fontId="64" fillId="0" borderId="30" xfId="97" applyFont="1" applyBorder="1" applyAlignment="1">
      <alignment horizontal="center" vertical="center" wrapText="1"/>
    </xf>
    <xf numFmtId="0" fontId="11" fillId="0" borderId="30" xfId="97" applyFont="1" applyBorder="1" applyAlignment="1">
      <alignment horizontal="justify" vertical="center" wrapText="1"/>
    </xf>
    <xf numFmtId="0" fontId="64" fillId="0" borderId="0" xfId="102" applyFont="1"/>
    <xf numFmtId="49" fontId="11" fillId="0" borderId="30" xfId="102" applyNumberFormat="1" applyFont="1" applyBorder="1" applyAlignment="1">
      <alignment horizontal="center" vertical="center"/>
    </xf>
    <xf numFmtId="0" fontId="11" fillId="0" borderId="0" xfId="97" applyFont="1"/>
    <xf numFmtId="0" fontId="64" fillId="0" borderId="0" xfId="97" applyFont="1" applyAlignment="1">
      <alignment wrapText="1"/>
    </xf>
    <xf numFmtId="4" fontId="11" fillId="2" borderId="30" xfId="102" applyNumberFormat="1" applyFont="1" applyFill="1" applyBorder="1" applyAlignment="1" applyProtection="1">
      <alignment horizontal="right" vertical="center"/>
      <protection locked="0"/>
    </xf>
    <xf numFmtId="4" fontId="11" fillId="43" borderId="30" xfId="102" applyNumberFormat="1" applyFont="1" applyFill="1" applyBorder="1" applyAlignment="1">
      <alignment horizontal="right" vertical="center"/>
    </xf>
    <xf numFmtId="0" fontId="64" fillId="0" borderId="0" xfId="102" applyFont="1" applyAlignment="1">
      <alignment vertical="center"/>
    </xf>
    <xf numFmtId="0" fontId="11" fillId="0" borderId="0" xfId="97" applyFont="1" applyAlignment="1">
      <alignment vertical="center"/>
    </xf>
    <xf numFmtId="0" fontId="64" fillId="0" borderId="0" xfId="102" applyFont="1" applyAlignment="1">
      <alignment vertical="center" wrapText="1"/>
    </xf>
    <xf numFmtId="49" fontId="11" fillId="9" borderId="30" xfId="102" applyNumberFormat="1" applyFont="1" applyFill="1" applyBorder="1" applyAlignment="1">
      <alignment horizontal="center" vertical="center" wrapText="1"/>
    </xf>
    <xf numFmtId="0" fontId="64" fillId="0" borderId="0" xfId="102" applyFont="1" applyAlignment="1">
      <alignment horizontal="center" vertical="center" wrapText="1"/>
    </xf>
    <xf numFmtId="0" fontId="11" fillId="0" borderId="0" xfId="105" applyFont="1"/>
    <xf numFmtId="0" fontId="11" fillId="0" borderId="0" xfId="105" applyFont="1" applyAlignment="1">
      <alignment horizontal="center"/>
    </xf>
    <xf numFmtId="0" fontId="13" fillId="0" borderId="0" xfId="105" applyFont="1"/>
    <xf numFmtId="0" fontId="64" fillId="0" borderId="0" xfId="102" applyFont="1" applyProtection="1">
      <protection hidden="1"/>
    </xf>
    <xf numFmtId="0" fontId="64" fillId="0" borderId="0" xfId="102" applyFont="1" applyAlignment="1" applyProtection="1">
      <alignment horizontal="center"/>
      <protection hidden="1"/>
    </xf>
    <xf numFmtId="0" fontId="14" fillId="0" borderId="0" xfId="105" applyFont="1"/>
    <xf numFmtId="0" fontId="67" fillId="0" borderId="0" xfId="105" applyFont="1"/>
    <xf numFmtId="0" fontId="14" fillId="0" borderId="0" xfId="105" applyFont="1" applyAlignment="1">
      <alignment horizontal="left"/>
    </xf>
    <xf numFmtId="0" fontId="64" fillId="0" borderId="0" xfId="106" applyFont="1"/>
    <xf numFmtId="0" fontId="64" fillId="0" borderId="0" xfId="107" applyFont="1" applyAlignment="1">
      <alignment horizontal="center" vertical="center" wrapText="1"/>
    </xf>
    <xf numFmtId="0" fontId="64" fillId="0" borderId="0" xfId="107" applyFont="1"/>
    <xf numFmtId="0" fontId="70" fillId="0" borderId="0" xfId="106" applyFont="1" applyAlignment="1">
      <alignment horizontal="center" vertical="center"/>
    </xf>
    <xf numFmtId="0" fontId="70" fillId="0" borderId="0" xfId="106" applyFont="1" applyAlignment="1">
      <alignment vertical="center" wrapText="1"/>
    </xf>
    <xf numFmtId="0" fontId="70" fillId="0" borderId="0" xfId="106" applyFont="1" applyAlignment="1">
      <alignment vertical="center"/>
    </xf>
    <xf numFmtId="0" fontId="14" fillId="0" borderId="0" xfId="107" applyFont="1" applyAlignment="1">
      <alignment vertical="center"/>
    </xf>
    <xf numFmtId="0" fontId="66" fillId="0" borderId="0" xfId="106" applyFont="1" applyAlignment="1">
      <alignment horizontal="center" vertical="center" wrapText="1"/>
    </xf>
    <xf numFmtId="0" fontId="66" fillId="0" borderId="0" xfId="106" applyFont="1" applyAlignment="1">
      <alignment vertical="center" wrapText="1"/>
    </xf>
    <xf numFmtId="0" fontId="68" fillId="0" borderId="0" xfId="106" applyFont="1" applyAlignment="1">
      <alignment vertical="center"/>
    </xf>
    <xf numFmtId="0" fontId="66" fillId="0" borderId="0" xfId="106" applyFont="1" applyAlignment="1">
      <alignment vertical="center"/>
    </xf>
    <xf numFmtId="49" fontId="14" fillId="0" borderId="0" xfId="99" applyFont="1" applyAlignment="1">
      <alignment vertical="center" wrapText="1"/>
    </xf>
    <xf numFmtId="49" fontId="14" fillId="0" borderId="0" xfId="99" applyFont="1" applyAlignment="1">
      <alignment vertical="center"/>
    </xf>
    <xf numFmtId="49" fontId="85" fillId="46" borderId="0" xfId="99" applyFont="1" applyFill="1" applyAlignment="1">
      <alignment horizontal="center" vertical="center"/>
    </xf>
    <xf numFmtId="0" fontId="14" fillId="0" borderId="0" xfId="99" applyNumberFormat="1" applyFont="1" applyAlignment="1">
      <alignment vertical="center" wrapText="1"/>
    </xf>
    <xf numFmtId="0" fontId="70" fillId="0" borderId="0" xfId="106" applyFont="1"/>
    <xf numFmtId="0" fontId="14" fillId="47" borderId="0" xfId="99" applyNumberFormat="1" applyFont="1" applyFill="1" applyAlignment="1">
      <alignment horizontal="right" vertical="center"/>
    </xf>
    <xf numFmtId="0" fontId="14" fillId="47" borderId="0" xfId="99" applyNumberFormat="1" applyFont="1" applyFill="1" applyAlignment="1">
      <alignment horizontal="center" vertical="center"/>
    </xf>
    <xf numFmtId="49" fontId="85" fillId="46" borderId="0" xfId="106" applyNumberFormat="1" applyFont="1" applyFill="1" applyAlignment="1">
      <alignment horizontal="center" vertical="center"/>
    </xf>
    <xf numFmtId="0" fontId="70" fillId="47" borderId="0" xfId="106" applyFont="1" applyFill="1" applyAlignment="1">
      <alignment horizontal="right" vertical="center"/>
    </xf>
    <xf numFmtId="49" fontId="14" fillId="47" borderId="0" xfId="99" applyFont="1" applyFill="1" applyAlignment="1">
      <alignment vertical="center" wrapText="1"/>
    </xf>
    <xf numFmtId="49" fontId="70" fillId="0" borderId="0" xfId="106" applyNumberFormat="1" applyFont="1" applyAlignment="1">
      <alignment vertical="center" wrapText="1"/>
    </xf>
    <xf numFmtId="49" fontId="86" fillId="0" borderId="0" xfId="99" applyFont="1" applyAlignment="1">
      <alignment vertical="center"/>
    </xf>
    <xf numFmtId="49" fontId="86" fillId="47" borderId="0" xfId="99" applyFont="1" applyFill="1" applyAlignment="1">
      <alignment vertical="center" wrapText="1"/>
    </xf>
    <xf numFmtId="0" fontId="14" fillId="0" borderId="0" xfId="109" applyFont="1"/>
    <xf numFmtId="49" fontId="86" fillId="0" borderId="0" xfId="99" applyFont="1" applyAlignment="1">
      <alignment vertical="center" wrapText="1"/>
    </xf>
    <xf numFmtId="49" fontId="14" fillId="0" borderId="0" xfId="99" applyFont="1" applyAlignment="1">
      <alignment horizontal="center" vertical="center"/>
    </xf>
    <xf numFmtId="49" fontId="14" fillId="12" borderId="0" xfId="99" applyFont="1" applyFill="1" applyAlignment="1">
      <alignment vertical="center"/>
    </xf>
    <xf numFmtId="49" fontId="14" fillId="0" borderId="0" xfId="99" applyFont="1">
      <alignment vertical="top"/>
    </xf>
    <xf numFmtId="0" fontId="14" fillId="47" borderId="0" xfId="99" applyNumberFormat="1" applyFont="1" applyFill="1" applyAlignment="1">
      <alignment horizontal="left" vertical="center"/>
    </xf>
    <xf numFmtId="49" fontId="17" fillId="46" borderId="0" xfId="0" applyFont="1" applyFill="1" applyAlignment="1">
      <alignment horizontal="center" vertical="center"/>
    </xf>
    <xf numFmtId="49" fontId="13" fillId="50" borderId="0" xfId="0" applyFont="1" applyFill="1" applyBorder="1" applyAlignment="1" applyProtection="1">
      <alignment vertical="center"/>
    </xf>
    <xf numFmtId="49" fontId="19" fillId="50" borderId="0" xfId="0" applyFont="1" applyFill="1" applyBorder="1" applyAlignment="1" applyProtection="1">
      <alignment vertical="top"/>
    </xf>
    <xf numFmtId="0" fontId="17" fillId="50" borderId="0" xfId="0" applyNumberFormat="1" applyFont="1" applyFill="1" applyBorder="1" applyAlignment="1" applyProtection="1">
      <alignment vertical="top"/>
    </xf>
    <xf numFmtId="49" fontId="17" fillId="50" borderId="0" xfId="0" applyFont="1" applyFill="1" applyBorder="1" applyAlignment="1" applyProtection="1">
      <alignment vertical="top"/>
    </xf>
    <xf numFmtId="49" fontId="0" fillId="8" borderId="0" xfId="0" applyFont="1" applyFill="1" applyBorder="1" applyAlignment="1" applyProtection="1">
      <alignment vertical="top"/>
    </xf>
    <xf numFmtId="49" fontId="89" fillId="0" borderId="0" xfId="0" applyFont="1" applyAlignment="1">
      <alignment horizontal="center" vertical="center" wrapText="1"/>
    </xf>
    <xf numFmtId="0" fontId="11" fillId="0" borderId="30" xfId="97" applyFont="1" applyBorder="1" applyAlignment="1">
      <alignment horizontal="center" vertical="center" wrapText="1"/>
    </xf>
    <xf numFmtId="0" fontId="11" fillId="9" borderId="30" xfId="102" applyFont="1" applyFill="1" applyBorder="1" applyAlignment="1">
      <alignment horizontal="center" vertical="center" wrapText="1"/>
    </xf>
    <xf numFmtId="0" fontId="64" fillId="0" borderId="30" xfId="102" applyFont="1" applyBorder="1" applyAlignment="1">
      <alignment horizontal="center" vertical="center" wrapText="1"/>
    </xf>
    <xf numFmtId="49" fontId="90" fillId="51" borderId="6" xfId="0" applyFont="1" applyFill="1" applyBorder="1" applyAlignment="1">
      <alignment horizontal="left" vertical="center" wrapText="1"/>
    </xf>
    <xf numFmtId="49" fontId="88" fillId="49" borderId="54" xfId="0" applyFont="1" applyFill="1" applyBorder="1" applyAlignment="1">
      <alignment horizontal="left" vertical="center" wrapText="1" indent="1"/>
    </xf>
    <xf numFmtId="49" fontId="88" fillId="49" borderId="55" xfId="0" applyFont="1" applyFill="1" applyBorder="1" applyAlignment="1">
      <alignment horizontal="left" vertical="center" wrapText="1" indent="1"/>
    </xf>
    <xf numFmtId="49" fontId="88" fillId="49" borderId="56" xfId="0" applyFont="1" applyFill="1" applyBorder="1" applyAlignment="1">
      <alignment horizontal="left" vertical="center" wrapText="1" indent="1"/>
    </xf>
    <xf numFmtId="49" fontId="88" fillId="49" borderId="55" xfId="0" applyFont="1" applyFill="1" applyBorder="1" applyAlignment="1">
      <alignment vertical="center" wrapText="1"/>
    </xf>
    <xf numFmtId="0" fontId="90" fillId="51" borderId="6" xfId="0" applyNumberFormat="1" applyFont="1" applyFill="1" applyBorder="1" applyAlignment="1">
      <alignment horizontal="left" vertical="center"/>
    </xf>
    <xf numFmtId="0" fontId="11" fillId="0" borderId="0" xfId="99" applyNumberFormat="1" applyFont="1" applyAlignment="1">
      <alignment vertical="center"/>
    </xf>
    <xf numFmtId="0" fontId="0" fillId="47" borderId="0" xfId="0" applyNumberFormat="1" applyFill="1" applyAlignment="1">
      <alignment horizontal="left" vertical="center"/>
    </xf>
    <xf numFmtId="49" fontId="11" fillId="0" borderId="33" xfId="98" applyNumberFormat="1" applyFont="1" applyBorder="1" applyAlignment="1">
      <alignment vertical="center" wrapText="1"/>
    </xf>
    <xf numFmtId="0" fontId="90" fillId="51" borderId="57" xfId="0" applyNumberFormat="1" applyFont="1" applyFill="1" applyBorder="1" applyAlignment="1">
      <alignment horizontal="left" vertical="center"/>
    </xf>
    <xf numFmtId="0" fontId="64" fillId="0" borderId="7" xfId="98" applyFont="1" applyBorder="1" applyAlignment="1">
      <alignment horizontal="center" vertical="center"/>
    </xf>
    <xf numFmtId="0" fontId="11" fillId="0" borderId="7" xfId="98" applyFont="1" applyBorder="1" applyAlignment="1">
      <alignment horizontal="center" vertical="center"/>
    </xf>
    <xf numFmtId="4" fontId="11" fillId="2" borderId="30" xfId="98" applyNumberFormat="1" applyFont="1" applyFill="1" applyBorder="1" applyAlignment="1" applyProtection="1">
      <alignment horizontal="right" vertical="center"/>
      <protection locked="0"/>
    </xf>
    <xf numFmtId="49" fontId="88" fillId="49" borderId="60" xfId="0" applyFont="1" applyFill="1" applyBorder="1" applyAlignment="1">
      <alignment horizontal="left" vertical="center" wrapText="1" indent="1"/>
    </xf>
    <xf numFmtId="3" fontId="11" fillId="2" borderId="30" xfId="98" applyNumberFormat="1" applyFont="1" applyFill="1" applyBorder="1" applyAlignment="1" applyProtection="1">
      <alignment horizontal="right" vertical="center"/>
      <protection locked="0"/>
    </xf>
    <xf numFmtId="3" fontId="11" fillId="2" borderId="30" xfId="49" applyNumberFormat="1" applyFill="1" applyBorder="1" applyAlignment="1" applyProtection="1">
      <alignment horizontal="right" vertical="center"/>
      <protection locked="0"/>
    </xf>
    <xf numFmtId="4" fontId="11" fillId="2" borderId="30" xfId="49" applyNumberFormat="1" applyFill="1" applyBorder="1" applyAlignment="1" applyProtection="1">
      <alignment horizontal="right" vertical="center"/>
      <protection locked="0"/>
    </xf>
    <xf numFmtId="49" fontId="11" fillId="2" borderId="7" xfId="98" applyNumberFormat="1" applyFont="1" applyFill="1" applyBorder="1" applyAlignment="1" applyProtection="1">
      <alignment horizontal="left" vertical="center" wrapText="1"/>
      <protection locked="0"/>
    </xf>
    <xf numFmtId="49" fontId="11" fillId="11" borderId="7" xfId="98" applyNumberFormat="1" applyFont="1" applyFill="1" applyBorder="1" applyAlignment="1" applyProtection="1">
      <alignment horizontal="left" vertical="center" wrapText="1"/>
      <protection locked="0"/>
    </xf>
    <xf numFmtId="0" fontId="11" fillId="0" borderId="30" xfId="102" applyFont="1" applyFill="1" applyBorder="1" applyAlignment="1" applyProtection="1">
      <alignment horizontal="center" vertical="center" wrapText="1"/>
    </xf>
    <xf numFmtId="4" fontId="11" fillId="7" borderId="30" xfId="102" applyNumberFormat="1" applyFont="1" applyFill="1" applyBorder="1" applyAlignment="1" applyProtection="1">
      <alignment horizontal="right" vertical="center"/>
    </xf>
    <xf numFmtId="0" fontId="11" fillId="0" borderId="30" xfId="97" applyFont="1" applyFill="1" applyBorder="1" applyAlignment="1" applyProtection="1">
      <alignment horizontal="center" vertical="center"/>
    </xf>
    <xf numFmtId="0" fontId="11" fillId="0" borderId="30" xfId="97" applyFont="1" applyFill="1" applyBorder="1" applyAlignment="1" applyProtection="1">
      <alignment horizontal="left" vertical="center" wrapText="1"/>
    </xf>
    <xf numFmtId="49" fontId="11" fillId="0" borderId="30" xfId="97" applyNumberFormat="1" applyFont="1" applyBorder="1" applyAlignment="1">
      <alignment horizontal="center" vertical="center"/>
    </xf>
    <xf numFmtId="0" fontId="11" fillId="0" borderId="30" xfId="97" applyFont="1" applyBorder="1" applyAlignment="1">
      <alignment horizontal="left" vertical="center" wrapText="1" indent="1"/>
    </xf>
    <xf numFmtId="0" fontId="79" fillId="0" borderId="9" xfId="102" applyFont="1" applyFill="1" applyBorder="1" applyAlignment="1" applyProtection="1">
      <alignment vertical="center"/>
    </xf>
    <xf numFmtId="0" fontId="79" fillId="0" borderId="9" xfId="102" applyFont="1" applyFill="1" applyBorder="1" applyAlignment="1" applyProtection="1"/>
    <xf numFmtId="0" fontId="78" fillId="0" borderId="9" xfId="102" applyFont="1" applyFill="1" applyBorder="1" applyAlignment="1">
      <alignment vertical="center" wrapText="1"/>
    </xf>
    <xf numFmtId="49" fontId="11" fillId="2" borderId="44" xfId="99" applyFill="1" applyBorder="1" applyAlignment="1" applyProtection="1">
      <alignment horizontal="left" vertical="center" wrapText="1" indent="1"/>
      <protection locked="0"/>
    </xf>
    <xf numFmtId="0" fontId="64" fillId="0" borderId="0" xfId="102" applyNumberFormat="1" applyFont="1" applyAlignment="1">
      <alignment vertical="center"/>
    </xf>
    <xf numFmtId="49" fontId="64" fillId="0" borderId="0" xfId="102" applyNumberFormat="1" applyFont="1" applyAlignment="1">
      <alignment vertical="center"/>
    </xf>
    <xf numFmtId="0" fontId="11" fillId="0" borderId="30" xfId="102" applyFont="1" applyBorder="1" applyAlignment="1">
      <alignment horizontal="center" vertical="center" wrapText="1"/>
    </xf>
    <xf numFmtId="0" fontId="64" fillId="0" borderId="30" xfId="102" applyFont="1" applyBorder="1" applyAlignment="1">
      <alignment horizontal="right" vertical="center" wrapText="1" indent="1"/>
    </xf>
    <xf numFmtId="49" fontId="11" fillId="8" borderId="0" xfId="0" applyFont="1" applyFill="1" applyBorder="1" applyAlignment="1" applyProtection="1">
      <alignment vertical="top"/>
    </xf>
    <xf numFmtId="49" fontId="11" fillId="0" borderId="0" xfId="0" applyFont="1" applyFill="1" applyBorder="1" applyAlignment="1" applyProtection="1">
      <alignment vertical="top"/>
    </xf>
    <xf numFmtId="0" fontId="64" fillId="0" borderId="30" xfId="102" applyFont="1" applyBorder="1" applyAlignment="1">
      <alignment horizontal="right" vertical="center" indent="1"/>
    </xf>
    <xf numFmtId="0" fontId="11" fillId="0" borderId="30" xfId="102" applyFont="1" applyFill="1" applyBorder="1" applyAlignment="1" applyProtection="1">
      <alignment horizontal="left" vertical="center" wrapText="1"/>
    </xf>
    <xf numFmtId="0" fontId="11" fillId="11" borderId="30" xfId="102" applyFont="1" applyFill="1" applyBorder="1" applyAlignment="1" applyProtection="1">
      <alignment horizontal="left" vertical="center" wrapText="1"/>
      <protection locked="0"/>
    </xf>
    <xf numFmtId="4" fontId="11" fillId="0" borderId="30" xfId="102" applyNumberFormat="1" applyFont="1" applyFill="1" applyBorder="1" applyAlignment="1" applyProtection="1">
      <alignment horizontal="right" vertical="center"/>
    </xf>
    <xf numFmtId="0" fontId="64" fillId="0" borderId="30" xfId="102" applyFont="1" applyFill="1" applyBorder="1" applyAlignment="1" applyProtection="1">
      <alignment vertical="center"/>
    </xf>
    <xf numFmtId="49" fontId="64" fillId="2" borderId="30" xfId="102" applyNumberFormat="1" applyFont="1" applyFill="1" applyBorder="1" applyAlignment="1" applyProtection="1">
      <alignment horizontal="left" vertical="center" wrapText="1"/>
      <protection locked="0"/>
    </xf>
    <xf numFmtId="0" fontId="11" fillId="0" borderId="0" xfId="97" applyFont="1" applyFill="1" applyBorder="1" applyAlignment="1" applyProtection="1">
      <alignment vertical="center"/>
    </xf>
    <xf numFmtId="49" fontId="78" fillId="0" borderId="49" xfId="102" applyNumberFormat="1" applyFont="1" applyFill="1" applyBorder="1" applyAlignment="1" applyProtection="1">
      <alignment horizontal="left" vertical="center" wrapText="1" indent="4"/>
    </xf>
    <xf numFmtId="49" fontId="78" fillId="0" borderId="0" xfId="102" applyNumberFormat="1" applyFont="1" applyFill="1" applyBorder="1" applyAlignment="1" applyProtection="1">
      <alignment horizontal="left" vertical="center" wrapText="1" indent="4"/>
    </xf>
    <xf numFmtId="49" fontId="78" fillId="0" borderId="9" xfId="102" applyNumberFormat="1" applyFont="1" applyFill="1" applyBorder="1" applyAlignment="1">
      <alignment horizontal="left" vertical="center" indent="1"/>
    </xf>
    <xf numFmtId="0" fontId="11" fillId="0" borderId="0" xfId="98" applyFont="1" applyFill="1" applyProtection="1"/>
    <xf numFmtId="49" fontId="89" fillId="0" borderId="0" xfId="0" applyFont="1" applyFill="1" applyAlignment="1" applyProtection="1">
      <alignment horizontal="center" vertical="center" wrapText="1"/>
    </xf>
    <xf numFmtId="0" fontId="11" fillId="0" borderId="0" xfId="98" applyFont="1" applyFill="1" applyBorder="1" applyAlignment="1" applyProtection="1">
      <alignment horizontal="center" vertical="center"/>
    </xf>
    <xf numFmtId="49" fontId="11" fillId="0" borderId="0" xfId="98" applyNumberFormat="1" applyFont="1" applyFill="1" applyBorder="1" applyAlignment="1" applyProtection="1">
      <alignment horizontal="left" vertical="center" wrapText="1"/>
    </xf>
    <xf numFmtId="0" fontId="11" fillId="0" borderId="0" xfId="98" applyNumberFormat="1" applyFont="1" applyFill="1" applyBorder="1" applyAlignment="1" applyProtection="1">
      <alignment vertical="center" wrapText="1"/>
    </xf>
    <xf numFmtId="0" fontId="11" fillId="0" borderId="0" xfId="98" applyNumberFormat="1" applyFont="1" applyFill="1" applyBorder="1" applyAlignment="1" applyProtection="1">
      <alignment horizontal="left" vertical="center" wrapText="1"/>
    </xf>
    <xf numFmtId="0" fontId="77" fillId="0" borderId="0" xfId="98" applyFont="1" applyFill="1" applyProtection="1"/>
    <xf numFmtId="0" fontId="13" fillId="9" borderId="30" xfId="102" applyFont="1" applyFill="1" applyBorder="1" applyAlignment="1">
      <alignment horizontal="center" vertical="center" wrapText="1"/>
    </xf>
    <xf numFmtId="49" fontId="78" fillId="0" borderId="9" xfId="102" applyNumberFormat="1" applyFont="1" applyFill="1" applyBorder="1" applyAlignment="1">
      <alignment vertical="center" wrapText="1"/>
    </xf>
    <xf numFmtId="0" fontId="11" fillId="9" borderId="30" xfId="102" applyNumberFormat="1" applyFont="1" applyFill="1" applyBorder="1" applyAlignment="1">
      <alignment horizontal="center" vertical="center" wrapText="1"/>
    </xf>
    <xf numFmtId="0" fontId="11" fillId="0" borderId="30" xfId="102" applyFont="1" applyFill="1" applyBorder="1" applyAlignment="1" applyProtection="1">
      <alignment horizontal="left" vertical="center" wrapText="1" indent="1"/>
    </xf>
    <xf numFmtId="0" fontId="11" fillId="11" borderId="30" xfId="102" applyNumberFormat="1" applyFont="1" applyFill="1" applyBorder="1" applyAlignment="1" applyProtection="1">
      <alignment horizontal="left" vertical="center" wrapText="1"/>
      <protection locked="0"/>
    </xf>
    <xf numFmtId="49" fontId="90" fillId="51" borderId="6" xfId="0" applyNumberFormat="1" applyFont="1" applyFill="1" applyBorder="1" applyAlignment="1">
      <alignment horizontal="left" vertical="center" wrapText="1"/>
    </xf>
    <xf numFmtId="0" fontId="11" fillId="0" borderId="0" xfId="105" applyFont="1" applyBorder="1"/>
    <xf numFmtId="49" fontId="78" fillId="0" borderId="9" xfId="102" applyNumberFormat="1" applyFont="1" applyFill="1" applyBorder="1" applyAlignment="1" applyProtection="1">
      <alignment vertical="center" wrapText="1"/>
    </xf>
    <xf numFmtId="0" fontId="6" fillId="0" borderId="9" xfId="102" applyFill="1" applyBorder="1" applyAlignment="1" applyProtection="1"/>
    <xf numFmtId="49" fontId="78" fillId="0" borderId="9" xfId="102" applyNumberFormat="1" applyFont="1" applyFill="1" applyBorder="1" applyAlignment="1" applyProtection="1">
      <alignment horizontal="center" vertical="center" wrapText="1"/>
    </xf>
    <xf numFmtId="49" fontId="90" fillId="51" borderId="8" xfId="0" applyFont="1" applyFill="1" applyBorder="1" applyAlignment="1">
      <alignment horizontal="left" vertical="center" wrapText="1"/>
    </xf>
    <xf numFmtId="0" fontId="13" fillId="0" borderId="7" xfId="105" applyFont="1" applyBorder="1" applyAlignment="1">
      <alignment horizontal="center" vertical="center"/>
    </xf>
    <xf numFmtId="0" fontId="13" fillId="0" borderId="7" xfId="105" applyFont="1" applyFill="1" applyBorder="1" applyAlignment="1" applyProtection="1">
      <alignment vertical="center" wrapText="1"/>
    </xf>
    <xf numFmtId="0" fontId="11" fillId="0" borderId="7" xfId="105" applyFont="1" applyFill="1" applyBorder="1" applyAlignment="1" applyProtection="1">
      <alignment horizontal="center" vertical="center"/>
    </xf>
    <xf numFmtId="4" fontId="13" fillId="43" borderId="7" xfId="105" applyNumberFormat="1" applyFont="1" applyFill="1" applyBorder="1" applyAlignment="1">
      <alignment horizontal="right" vertical="center"/>
    </xf>
    <xf numFmtId="0" fontId="11" fillId="0" borderId="7" xfId="105" applyFont="1" applyBorder="1" applyAlignment="1">
      <alignment horizontal="center" vertical="center"/>
    </xf>
    <xf numFmtId="0" fontId="11" fillId="0" borderId="7" xfId="105" applyFont="1" applyFill="1" applyBorder="1" applyAlignment="1" applyProtection="1">
      <alignment horizontal="left" vertical="center" wrapText="1" indent="1"/>
    </xf>
    <xf numFmtId="4" fontId="11" fillId="2" borderId="7" xfId="105" applyNumberFormat="1" applyFont="1" applyFill="1" applyBorder="1" applyAlignment="1" applyProtection="1">
      <alignment horizontal="right" vertical="center"/>
      <protection locked="0"/>
    </xf>
    <xf numFmtId="0" fontId="13" fillId="0" borderId="7" xfId="105" applyFont="1" applyFill="1" applyBorder="1" applyAlignment="1" applyProtection="1">
      <alignment horizontal="center" vertical="center"/>
    </xf>
    <xf numFmtId="4" fontId="13" fillId="0" borderId="7" xfId="105" applyNumberFormat="1" applyFont="1" applyFill="1" applyBorder="1" applyAlignment="1" applyProtection="1">
      <alignment horizontal="right" vertical="center"/>
    </xf>
    <xf numFmtId="0" fontId="6" fillId="0" borderId="9" xfId="102" applyFill="1" applyBorder="1" applyAlignment="1" applyProtection="1">
      <alignment vertical="center" wrapText="1"/>
    </xf>
    <xf numFmtId="49" fontId="13" fillId="0" borderId="7" xfId="102" applyNumberFormat="1" applyFont="1" applyBorder="1" applyAlignment="1">
      <alignment horizontal="center" vertical="center"/>
    </xf>
    <xf numFmtId="0" fontId="13" fillId="0" borderId="7" xfId="102" applyFont="1" applyFill="1" applyBorder="1" applyAlignment="1" applyProtection="1">
      <alignment horizontal="left" vertical="center" wrapText="1"/>
    </xf>
    <xf numFmtId="0" fontId="13" fillId="0" borderId="7" xfId="102" applyFont="1" applyFill="1" applyBorder="1" applyAlignment="1" applyProtection="1">
      <alignment horizontal="center" vertical="center"/>
    </xf>
    <xf numFmtId="49" fontId="11" fillId="0" borderId="7" xfId="102" applyNumberFormat="1" applyFont="1" applyBorder="1" applyAlignment="1">
      <alignment horizontal="center" vertical="center"/>
    </xf>
    <xf numFmtId="0" fontId="11" fillId="0" borderId="7" xfId="102" applyFont="1" applyFill="1" applyBorder="1" applyAlignment="1" applyProtection="1">
      <alignment horizontal="left" vertical="center" wrapText="1" indent="1"/>
    </xf>
    <xf numFmtId="0" fontId="11" fillId="0" borderId="7" xfId="102" applyFont="1" applyFill="1" applyBorder="1" applyAlignment="1" applyProtection="1">
      <alignment horizontal="center" vertical="center"/>
    </xf>
    <xf numFmtId="0" fontId="11" fillId="0" borderId="7" xfId="102" applyFont="1" applyBorder="1" applyAlignment="1">
      <alignment horizontal="left" vertical="center" wrapText="1" indent="2"/>
    </xf>
    <xf numFmtId="4" fontId="11" fillId="2" borderId="7" xfId="102" applyNumberFormat="1" applyFont="1" applyFill="1" applyBorder="1" applyAlignment="1" applyProtection="1">
      <alignment horizontal="right" vertical="center"/>
      <protection locked="0"/>
    </xf>
    <xf numFmtId="0" fontId="64" fillId="0" borderId="7" xfId="97" applyFont="1" applyBorder="1" applyAlignment="1">
      <alignment horizontal="left" indent="1"/>
    </xf>
    <xf numFmtId="0" fontId="11" fillId="0" borderId="7" xfId="102" applyFont="1" applyBorder="1" applyAlignment="1">
      <alignment horizontal="left" vertical="center" wrapText="1" indent="1"/>
    </xf>
    <xf numFmtId="0" fontId="90" fillId="51" borderId="5" xfId="0" applyNumberFormat="1" applyFont="1" applyFill="1" applyBorder="1" applyAlignment="1">
      <alignment horizontal="left" vertical="center"/>
    </xf>
    <xf numFmtId="0" fontId="6" fillId="0" borderId="9" xfId="102" applyFill="1" applyBorder="1" applyAlignment="1">
      <alignment vertical="center"/>
    </xf>
    <xf numFmtId="0" fontId="6" fillId="0" borderId="9" xfId="102" applyFill="1" applyBorder="1" applyAlignment="1"/>
    <xf numFmtId="49" fontId="14" fillId="0" borderId="0" xfId="105" applyNumberFormat="1" applyFont="1"/>
    <xf numFmtId="49" fontId="14" fillId="0" borderId="0" xfId="105" applyNumberFormat="1" applyFont="1" applyAlignment="1">
      <alignment horizontal="center"/>
    </xf>
    <xf numFmtId="0" fontId="90" fillId="51" borderId="8" xfId="0" applyNumberFormat="1" applyFont="1" applyFill="1" applyBorder="1" applyAlignment="1">
      <alignment horizontal="left" vertical="center"/>
    </xf>
    <xf numFmtId="0" fontId="11" fillId="0" borderId="7" xfId="105" applyFont="1" applyFill="1" applyBorder="1" applyAlignment="1" applyProtection="1"/>
    <xf numFmtId="49" fontId="11" fillId="0" borderId="7" xfId="105" applyNumberFormat="1" applyFont="1" applyBorder="1" applyAlignment="1">
      <alignment horizontal="center" vertical="center"/>
    </xf>
    <xf numFmtId="16" fontId="11" fillId="0" borderId="7" xfId="105" applyNumberFormat="1" applyFont="1" applyBorder="1" applyAlignment="1">
      <alignment horizontal="center" vertical="center"/>
    </xf>
    <xf numFmtId="0" fontId="11" fillId="0" borderId="7" xfId="105" applyFont="1" applyFill="1" applyBorder="1" applyAlignment="1" applyProtection="1">
      <alignment horizontal="left" vertical="center" wrapText="1" indent="2"/>
    </xf>
    <xf numFmtId="4" fontId="13" fillId="2" borderId="7" xfId="105" applyNumberFormat="1" applyFont="1" applyFill="1" applyBorder="1" applyAlignment="1" applyProtection="1">
      <alignment horizontal="right" vertical="center"/>
      <protection locked="0"/>
    </xf>
    <xf numFmtId="0" fontId="64" fillId="0" borderId="9" xfId="102" applyFont="1" applyFill="1" applyBorder="1" applyAlignment="1" applyProtection="1">
      <alignment vertical="center"/>
    </xf>
    <xf numFmtId="0" fontId="6" fillId="0" borderId="9" xfId="102" applyFill="1" applyBorder="1" applyAlignment="1" applyProtection="1">
      <alignment vertical="center"/>
    </xf>
    <xf numFmtId="0" fontId="64" fillId="0" borderId="7" xfId="102" applyFont="1" applyBorder="1" applyAlignment="1" applyProtection="1">
      <alignment horizontal="center"/>
      <protection hidden="1"/>
    </xf>
    <xf numFmtId="0" fontId="64" fillId="0" borderId="7" xfId="102" applyFont="1" applyFill="1" applyBorder="1" applyAlignment="1" applyProtection="1"/>
    <xf numFmtId="4" fontId="11" fillId="0" borderId="7" xfId="102" applyNumberFormat="1" applyFont="1" applyFill="1" applyBorder="1" applyAlignment="1" applyProtection="1">
      <alignment horizontal="center" vertical="center"/>
    </xf>
    <xf numFmtId="4" fontId="78" fillId="43" borderId="7" xfId="102" applyNumberFormat="1" applyFont="1" applyFill="1" applyBorder="1" applyAlignment="1">
      <alignment horizontal="right" vertical="center" wrapText="1"/>
    </xf>
    <xf numFmtId="4" fontId="11" fillId="2" borderId="7" xfId="104" applyNumberFormat="1" applyFont="1" applyFill="1" applyBorder="1" applyAlignment="1" applyProtection="1">
      <alignment horizontal="right" vertical="center" wrapText="1"/>
      <protection locked="0"/>
    </xf>
    <xf numFmtId="4" fontId="64" fillId="2" borderId="7" xfId="102" applyNumberFormat="1" applyFont="1" applyFill="1" applyBorder="1" applyAlignment="1" applyProtection="1">
      <alignment horizontal="right" vertical="center" wrapText="1"/>
      <protection locked="0"/>
    </xf>
    <xf numFmtId="4" fontId="64" fillId="2" borderId="7" xfId="102" applyNumberFormat="1" applyFont="1" applyFill="1" applyBorder="1" applyAlignment="1" applyProtection="1">
      <alignment horizontal="right"/>
      <protection locked="0"/>
    </xf>
    <xf numFmtId="49" fontId="88" fillId="49" borderId="5" xfId="0" applyFont="1" applyFill="1" applyBorder="1" applyAlignment="1">
      <alignment horizontal="left" vertical="center" wrapText="1" indent="1"/>
    </xf>
    <xf numFmtId="49" fontId="88" fillId="49" borderId="6" xfId="0" applyFont="1" applyFill="1" applyBorder="1" applyAlignment="1">
      <alignment horizontal="left" vertical="center" wrapText="1" indent="1"/>
    </xf>
    <xf numFmtId="49" fontId="88" fillId="49" borderId="8" xfId="0" applyFont="1" applyFill="1" applyBorder="1" applyAlignment="1">
      <alignment horizontal="left" vertical="center" wrapText="1" indent="1"/>
    </xf>
    <xf numFmtId="0" fontId="13" fillId="0" borderId="7" xfId="102" applyFont="1" applyBorder="1" applyAlignment="1">
      <alignment horizontal="center" vertical="center" wrapText="1"/>
    </xf>
    <xf numFmtId="4" fontId="64" fillId="7" borderId="7" xfId="102" applyNumberFormat="1" applyFont="1" applyFill="1" applyBorder="1" applyAlignment="1" applyProtection="1">
      <alignment horizontal="right"/>
    </xf>
    <xf numFmtId="49" fontId="11" fillId="11" borderId="7" xfId="102" applyNumberFormat="1" applyFont="1" applyFill="1" applyBorder="1" applyAlignment="1" applyProtection="1">
      <alignment horizontal="left" vertical="center" wrapText="1" indent="1"/>
      <protection locked="0"/>
    </xf>
    <xf numFmtId="49" fontId="64" fillId="0" borderId="0" xfId="102" applyNumberFormat="1" applyFont="1" applyAlignment="1">
      <alignment horizontal="left" vertical="center"/>
    </xf>
    <xf numFmtId="0" fontId="64" fillId="0" borderId="7" xfId="106" applyFont="1" applyBorder="1" applyAlignment="1">
      <alignment horizontal="center" vertical="center" wrapText="1"/>
    </xf>
    <xf numFmtId="0" fontId="64" fillId="0" borderId="9" xfId="106" applyFont="1" applyFill="1" applyBorder="1" applyAlignment="1">
      <alignment vertical="center" wrapText="1"/>
    </xf>
    <xf numFmtId="0" fontId="64" fillId="0" borderId="9" xfId="106" applyFont="1" applyFill="1" applyBorder="1" applyAlignment="1"/>
    <xf numFmtId="4" fontId="78" fillId="43" borderId="7" xfId="107" applyNumberFormat="1" applyFont="1" applyFill="1" applyBorder="1" applyAlignment="1">
      <alignment horizontal="right" vertical="center"/>
    </xf>
    <xf numFmtId="4" fontId="64" fillId="43" borderId="7" xfId="107" applyNumberFormat="1" applyFont="1" applyFill="1" applyBorder="1" applyAlignment="1">
      <alignment horizontal="right" vertical="center"/>
    </xf>
    <xf numFmtId="4" fontId="64" fillId="2" borderId="7" xfId="107" applyNumberFormat="1" applyFont="1" applyFill="1" applyBorder="1" applyAlignment="1" applyProtection="1">
      <alignment horizontal="right" vertical="center"/>
      <protection locked="0"/>
    </xf>
    <xf numFmtId="0" fontId="64" fillId="0" borderId="7" xfId="107" applyFont="1" applyFill="1" applyBorder="1" applyAlignment="1" applyProtection="1">
      <alignment horizontal="center" vertical="center"/>
    </xf>
    <xf numFmtId="0" fontId="78" fillId="0" borderId="7" xfId="107" applyFont="1" applyFill="1" applyBorder="1" applyAlignment="1" applyProtection="1">
      <alignment vertical="center" wrapText="1"/>
    </xf>
    <xf numFmtId="0" fontId="78" fillId="0" borderId="7" xfId="107" applyFont="1" applyFill="1" applyBorder="1" applyAlignment="1" applyProtection="1">
      <alignment horizontal="left" vertical="center" wrapText="1"/>
    </xf>
    <xf numFmtId="49" fontId="64" fillId="0" borderId="7" xfId="107" applyNumberFormat="1" applyFont="1" applyFill="1" applyBorder="1" applyAlignment="1" applyProtection="1">
      <alignment horizontal="center" vertical="center"/>
    </xf>
    <xf numFmtId="0" fontId="64" fillId="0" borderId="7" xfId="107" applyFont="1" applyFill="1" applyBorder="1" applyAlignment="1" applyProtection="1">
      <alignment horizontal="left" vertical="center" wrapText="1" indent="1"/>
    </xf>
    <xf numFmtId="0" fontId="64" fillId="0" borderId="7" xfId="107" applyFont="1" applyFill="1" applyBorder="1" applyAlignment="1" applyProtection="1">
      <alignment horizontal="left" vertical="center" wrapText="1" indent="2"/>
    </xf>
    <xf numFmtId="49" fontId="78" fillId="0" borderId="7" xfId="107" applyNumberFormat="1" applyFont="1" applyFill="1" applyBorder="1" applyAlignment="1" applyProtection="1">
      <alignment horizontal="center" vertical="center"/>
    </xf>
    <xf numFmtId="0" fontId="78" fillId="0" borderId="7" xfId="107" applyFont="1" applyFill="1" applyBorder="1" applyAlignment="1" applyProtection="1">
      <alignment horizontal="center" vertical="center"/>
    </xf>
    <xf numFmtId="0" fontId="78" fillId="0" borderId="0" xfId="107" applyFont="1"/>
    <xf numFmtId="0" fontId="90" fillId="51" borderId="15" xfId="0" applyNumberFormat="1" applyFont="1" applyFill="1" applyBorder="1" applyAlignment="1">
      <alignment horizontal="left" vertical="center"/>
    </xf>
    <xf numFmtId="0" fontId="90" fillId="51" borderId="11" xfId="0" applyNumberFormat="1" applyFont="1" applyFill="1" applyBorder="1" applyAlignment="1">
      <alignment horizontal="left" vertical="center"/>
    </xf>
    <xf numFmtId="49" fontId="11" fillId="0" borderId="7" xfId="107" applyNumberFormat="1" applyFont="1" applyBorder="1" applyAlignment="1">
      <alignment horizontal="center" vertical="center" wrapText="1"/>
    </xf>
    <xf numFmtId="49" fontId="11" fillId="0" borderId="7" xfId="107" applyNumberFormat="1" applyFont="1" applyBorder="1" applyAlignment="1">
      <alignment horizontal="left" vertical="center" wrapText="1"/>
    </xf>
    <xf numFmtId="0" fontId="15" fillId="0" borderId="7" xfId="107" applyFont="1" applyBorder="1" applyAlignment="1">
      <alignment horizontal="center" vertical="center" wrapText="1"/>
    </xf>
    <xf numFmtId="49" fontId="78" fillId="0" borderId="9" xfId="106" applyNumberFormat="1" applyFont="1" applyFill="1" applyBorder="1" applyAlignment="1" applyProtection="1">
      <alignment vertical="center" wrapText="1"/>
    </xf>
    <xf numFmtId="49" fontId="13" fillId="0" borderId="7" xfId="107" applyNumberFormat="1" applyFont="1" applyFill="1" applyBorder="1" applyAlignment="1" applyProtection="1">
      <alignment horizontal="left" vertical="center" wrapText="1"/>
    </xf>
    <xf numFmtId="49" fontId="13" fillId="0" borderId="7" xfId="107" applyNumberFormat="1" applyFont="1" applyFill="1" applyBorder="1" applyAlignment="1" applyProtection="1">
      <alignment horizontal="center" vertical="center" wrapText="1"/>
    </xf>
    <xf numFmtId="49" fontId="11" fillId="0" borderId="7" xfId="107" applyNumberFormat="1" applyFont="1" applyFill="1" applyBorder="1" applyAlignment="1" applyProtection="1">
      <alignment horizontal="left" vertical="center" wrapText="1"/>
    </xf>
    <xf numFmtId="49" fontId="11" fillId="0" borderId="7" xfId="107" applyNumberFormat="1" applyFont="1" applyFill="1" applyBorder="1" applyAlignment="1" applyProtection="1">
      <alignment horizontal="center" vertical="center" wrapText="1"/>
    </xf>
    <xf numFmtId="49" fontId="11" fillId="0" borderId="7" xfId="107" applyNumberFormat="1" applyFont="1" applyFill="1" applyBorder="1" applyAlignment="1" applyProtection="1">
      <alignment horizontal="left" vertical="center" wrapText="1" indent="1"/>
    </xf>
    <xf numFmtId="4" fontId="78" fillId="43" borderId="7" xfId="107" applyNumberFormat="1" applyFont="1" applyFill="1" applyBorder="1" applyAlignment="1">
      <alignment horizontal="right" vertical="center" wrapText="1"/>
    </xf>
    <xf numFmtId="4" fontId="21" fillId="43" borderId="7" xfId="107" applyNumberFormat="1" applyFont="1" applyFill="1" applyBorder="1" applyAlignment="1">
      <alignment horizontal="right" vertical="center" wrapText="1"/>
    </xf>
    <xf numFmtId="4" fontId="64" fillId="2" borderId="7" xfId="107" applyNumberFormat="1" applyFont="1" applyFill="1" applyBorder="1" applyAlignment="1" applyProtection="1">
      <alignment horizontal="right" vertical="center" wrapText="1"/>
      <protection locked="0"/>
    </xf>
    <xf numFmtId="4" fontId="15" fillId="2" borderId="7" xfId="107" applyNumberFormat="1" applyFont="1" applyFill="1" applyBorder="1" applyAlignment="1" applyProtection="1">
      <alignment horizontal="right" vertical="center" wrapText="1"/>
      <protection locked="0"/>
    </xf>
    <xf numFmtId="49" fontId="13" fillId="0" borderId="7" xfId="107" applyNumberFormat="1" applyFont="1" applyBorder="1" applyAlignment="1">
      <alignment horizontal="center" vertical="center" wrapText="1"/>
    </xf>
    <xf numFmtId="0" fontId="64" fillId="0" borderId="9" xfId="106" applyFont="1" applyFill="1" applyBorder="1" applyAlignment="1" applyProtection="1">
      <alignment vertical="center" wrapText="1"/>
    </xf>
    <xf numFmtId="0" fontId="6" fillId="0" borderId="9" xfId="106" applyFill="1" applyBorder="1" applyAlignment="1" applyProtection="1">
      <alignment wrapText="1"/>
    </xf>
    <xf numFmtId="4" fontId="6" fillId="2" borderId="7" xfId="106" applyNumberFormat="1" applyFill="1" applyBorder="1" applyAlignment="1" applyProtection="1">
      <alignment horizontal="right" vertical="center" wrapText="1"/>
      <protection locked="0"/>
    </xf>
    <xf numFmtId="0" fontId="64" fillId="0" borderId="9" xfId="106" applyFont="1" applyFill="1" applyBorder="1" applyAlignment="1" applyProtection="1">
      <alignment vertical="center"/>
    </xf>
    <xf numFmtId="0" fontId="64" fillId="0" borderId="9" xfId="106" applyFont="1" applyFill="1" applyBorder="1" applyAlignment="1" applyProtection="1"/>
    <xf numFmtId="0" fontId="64" fillId="0" borderId="0" xfId="107" applyFont="1" applyAlignment="1">
      <alignment vertical="center"/>
    </xf>
    <xf numFmtId="49" fontId="66" fillId="0" borderId="9" xfId="106" applyNumberFormat="1" applyFont="1" applyFill="1" applyBorder="1" applyAlignment="1" applyProtection="1">
      <alignment vertical="center"/>
    </xf>
    <xf numFmtId="0" fontId="90" fillId="51" borderId="29" xfId="0" applyNumberFormat="1" applyFont="1" applyFill="1" applyBorder="1" applyAlignment="1">
      <alignment horizontal="left" vertical="center"/>
    </xf>
    <xf numFmtId="0" fontId="90" fillId="51" borderId="0" xfId="0" applyNumberFormat="1" applyFont="1" applyFill="1" applyBorder="1" applyAlignment="1">
      <alignment horizontal="left" vertical="center"/>
    </xf>
    <xf numFmtId="49" fontId="14" fillId="0" borderId="0" xfId="97" applyNumberFormat="1" applyFont="1" applyAlignment="1">
      <alignment vertical="center"/>
    </xf>
    <xf numFmtId="0" fontId="64" fillId="0" borderId="0" xfId="106" applyFont="1" applyAlignment="1">
      <alignment horizontal="left" vertical="center" wrapText="1"/>
    </xf>
    <xf numFmtId="0" fontId="64" fillId="0" borderId="0" xfId="106" applyFont="1" applyAlignment="1">
      <alignment vertical="center"/>
    </xf>
    <xf numFmtId="0" fontId="11" fillId="0" borderId="0" xfId="107" applyFont="1" applyAlignment="1">
      <alignment vertical="center"/>
    </xf>
    <xf numFmtId="0" fontId="64" fillId="0" borderId="0" xfId="106" applyFont="1" applyAlignment="1">
      <alignment vertical="center" wrapText="1"/>
    </xf>
    <xf numFmtId="0" fontId="64" fillId="0" borderId="0" xfId="106" applyFont="1" applyAlignment="1">
      <alignment horizontal="center" vertical="center" wrapText="1"/>
    </xf>
    <xf numFmtId="0" fontId="64" fillId="0" borderId="47" xfId="106" applyFont="1" applyBorder="1" applyAlignment="1">
      <alignment horizontal="center" vertical="center" wrapText="1"/>
    </xf>
    <xf numFmtId="4" fontId="64" fillId="2" borderId="43" xfId="106" applyNumberFormat="1" applyFont="1" applyFill="1" applyBorder="1" applyAlignment="1" applyProtection="1">
      <alignment horizontal="right" vertical="center"/>
      <protection locked="0"/>
    </xf>
    <xf numFmtId="0" fontId="78" fillId="0" borderId="9" xfId="106" applyFont="1" applyFill="1" applyBorder="1" applyAlignment="1">
      <alignment horizontal="left" vertical="center" indent="1"/>
    </xf>
    <xf numFmtId="0" fontId="64" fillId="0" borderId="9" xfId="106" applyFont="1" applyFill="1" applyBorder="1"/>
    <xf numFmtId="0" fontId="64" fillId="0" borderId="7" xfId="106" applyFont="1" applyBorder="1" applyAlignment="1">
      <alignment horizontal="left" vertical="center" wrapText="1"/>
    </xf>
    <xf numFmtId="4" fontId="11" fillId="7" borderId="7" xfId="102" applyNumberFormat="1" applyFont="1" applyFill="1" applyBorder="1" applyAlignment="1" applyProtection="1">
      <alignment horizontal="right" vertical="center"/>
    </xf>
    <xf numFmtId="0" fontId="68" fillId="0" borderId="0" xfId="97" applyFont="1" applyFill="1" applyAlignment="1" applyProtection="1">
      <alignment vertical="center"/>
    </xf>
    <xf numFmtId="0" fontId="87" fillId="0" borderId="0" xfId="97" applyFont="1" applyFill="1" applyAlignment="1" applyProtection="1">
      <alignment vertical="center"/>
    </xf>
    <xf numFmtId="49" fontId="14" fillId="48" borderId="0" xfId="99" applyFont="1" applyFill="1" applyAlignment="1" applyProtection="1">
      <alignment vertical="center" wrapText="1"/>
      <protection locked="0"/>
    </xf>
    <xf numFmtId="49" fontId="88" fillId="49" borderId="55" xfId="0" applyFont="1" applyFill="1" applyBorder="1" applyAlignment="1">
      <alignment horizontal="left" vertical="center" indent="1"/>
    </xf>
    <xf numFmtId="49" fontId="11"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0" fontId="11" fillId="45" borderId="0" xfId="102" applyFont="1" applyFill="1" applyBorder="1" applyAlignment="1" applyProtection="1">
      <alignment horizontal="left" vertical="center" wrapText="1"/>
    </xf>
    <xf numFmtId="0" fontId="64" fillId="45" borderId="0" xfId="102" applyFont="1" applyFill="1" applyBorder="1" applyAlignment="1">
      <alignment horizontal="center" vertical="center" wrapText="1"/>
    </xf>
    <xf numFmtId="4" fontId="11" fillId="45" borderId="0" xfId="102" applyNumberFormat="1" applyFont="1" applyFill="1" applyBorder="1" applyAlignment="1" applyProtection="1">
      <alignment horizontal="right" vertical="center"/>
    </xf>
    <xf numFmtId="49" fontId="95" fillId="45" borderId="5" xfId="102" applyNumberFormat="1" applyFont="1" applyFill="1" applyBorder="1" applyAlignment="1">
      <alignment horizontal="center" vertical="center" wrapText="1"/>
    </xf>
    <xf numFmtId="49" fontId="11" fillId="45" borderId="8" xfId="102" applyNumberFormat="1" applyFont="1" applyFill="1" applyBorder="1" applyAlignment="1" applyProtection="1">
      <alignment horizontal="left" vertical="center"/>
    </xf>
    <xf numFmtId="49" fontId="71" fillId="45" borderId="31" xfId="99" applyFont="1" applyFill="1" applyBorder="1" applyAlignment="1">
      <alignment horizontal="left" vertical="center" indent="1"/>
    </xf>
    <xf numFmtId="49" fontId="11" fillId="45" borderId="32" xfId="99" applyFont="1" applyFill="1" applyBorder="1" applyAlignment="1">
      <alignment horizontal="left" vertical="center" indent="1"/>
    </xf>
    <xf numFmtId="49" fontId="71" fillId="45" borderId="32" xfId="99" applyFont="1" applyFill="1" applyBorder="1" applyAlignment="1">
      <alignment horizontal="left" vertical="center" indent="1"/>
    </xf>
    <xf numFmtId="49" fontId="71" fillId="45" borderId="32"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4" fillId="0" borderId="30" xfId="97" applyNumberFormat="1" applyFont="1" applyFill="1" applyBorder="1" applyAlignment="1" applyProtection="1">
      <alignment horizontal="left" vertical="center"/>
    </xf>
    <xf numFmtId="49" fontId="42" fillId="0" borderId="0" xfId="34" applyNumberFormat="1" applyFont="1" applyFill="1" applyBorder="1" applyAlignment="1" applyProtection="1">
      <alignment horizontal="left" vertical="top" wrapText="1"/>
    </xf>
    <xf numFmtId="4" fontId="90" fillId="51" borderId="11" xfId="0" applyNumberFormat="1" applyFont="1" applyFill="1" applyBorder="1" applyAlignment="1">
      <alignment horizontal="right" vertical="center"/>
    </xf>
    <xf numFmtId="0" fontId="11" fillId="7" borderId="7" xfId="105" applyFont="1" applyFill="1" applyBorder="1" applyAlignment="1" applyProtection="1">
      <alignment horizontal="left" vertical="center" wrapText="1" indent="1"/>
    </xf>
    <xf numFmtId="0" fontId="14" fillId="49" borderId="0" xfId="97" applyFont="1" applyFill="1" applyAlignment="1" applyProtection="1">
      <alignment vertical="center"/>
    </xf>
    <xf numFmtId="49" fontId="88" fillId="49" borderId="53" xfId="0" applyFont="1" applyFill="1" applyBorder="1" applyAlignment="1">
      <alignment horizontal="left" vertical="center" wrapText="1" indent="1"/>
    </xf>
    <xf numFmtId="169" fontId="64" fillId="2" borderId="30" xfId="97" applyNumberFormat="1" applyFont="1" applyFill="1" applyBorder="1" applyAlignment="1" applyProtection="1">
      <alignment horizontal="right" vertical="center"/>
      <protection locked="0"/>
    </xf>
    <xf numFmtId="169" fontId="71" fillId="45" borderId="32" xfId="99" applyNumberFormat="1" applyFont="1" applyFill="1" applyBorder="1" applyAlignment="1">
      <alignment horizontal="left" vertical="center" indent="1"/>
    </xf>
    <xf numFmtId="169" fontId="15" fillId="2" borderId="30" xfId="104" applyNumberFormat="1" applyFont="1" applyFill="1" applyBorder="1" applyAlignment="1" applyProtection="1">
      <alignment horizontal="right" vertical="center"/>
      <protection locked="0"/>
    </xf>
    <xf numFmtId="169" fontId="64" fillId="0" borderId="30" xfId="97" applyNumberFormat="1" applyFont="1" applyFill="1" applyBorder="1" applyAlignment="1" applyProtection="1">
      <alignment horizontal="right" vertical="center"/>
    </xf>
    <xf numFmtId="169" fontId="11" fillId="2" borderId="30" xfId="102" applyNumberFormat="1" applyFont="1" applyFill="1" applyBorder="1" applyAlignment="1" applyProtection="1">
      <alignment horizontal="right" vertical="center"/>
      <protection locked="0"/>
    </xf>
    <xf numFmtId="169" fontId="15" fillId="7" borderId="30" xfId="104" applyNumberFormat="1" applyFont="1" applyFill="1" applyBorder="1" applyAlignment="1" applyProtection="1">
      <alignment horizontal="right" vertical="center"/>
    </xf>
    <xf numFmtId="169" fontId="15" fillId="0" borderId="30" xfId="104" applyNumberFormat="1" applyFont="1" applyFill="1" applyBorder="1" applyAlignment="1" applyProtection="1">
      <alignment horizontal="right" vertical="center"/>
    </xf>
    <xf numFmtId="169" fontId="11" fillId="2" borderId="30" xfId="104" applyNumberFormat="1" applyFont="1" applyFill="1" applyBorder="1" applyAlignment="1" applyProtection="1">
      <alignment horizontal="right" vertical="center"/>
      <protection locked="0"/>
    </xf>
    <xf numFmtId="169" fontId="11" fillId="0" borderId="30" xfId="104" applyNumberFormat="1" applyFont="1" applyFill="1" applyBorder="1" applyAlignment="1" applyProtection="1">
      <alignment horizontal="right" vertical="center"/>
    </xf>
    <xf numFmtId="172" fontId="15" fillId="7" borderId="30" xfId="104" applyNumberFormat="1" applyFont="1" applyFill="1" applyBorder="1" applyAlignment="1" applyProtection="1">
      <alignment horizontal="right" vertical="center"/>
    </xf>
    <xf numFmtId="172" fontId="71" fillId="45" borderId="32" xfId="99" applyNumberFormat="1" applyFont="1" applyFill="1" applyBorder="1" applyAlignment="1">
      <alignment horizontal="left" vertical="center" indent="1"/>
    </xf>
    <xf numFmtId="172" fontId="15" fillId="0" borderId="30" xfId="104" applyNumberFormat="1" applyFont="1" applyFill="1" applyBorder="1" applyAlignment="1" applyProtection="1">
      <alignment horizontal="right" vertical="center"/>
    </xf>
    <xf numFmtId="169" fontId="71" fillId="45" borderId="33" xfId="99" applyNumberFormat="1" applyFont="1" applyFill="1" applyBorder="1" applyAlignment="1">
      <alignment horizontal="left" vertical="center" indent="1"/>
    </xf>
    <xf numFmtId="169" fontId="64" fillId="7" borderId="7" xfId="107" applyNumberFormat="1" applyFont="1" applyFill="1" applyBorder="1" applyAlignment="1" applyProtection="1">
      <alignment horizontal="right" vertical="center" wrapText="1"/>
    </xf>
    <xf numFmtId="49" fontId="64" fillId="2" borderId="30" xfId="97" applyNumberFormat="1" applyFont="1" applyFill="1" applyBorder="1" applyAlignment="1" applyProtection="1">
      <alignment horizontal="left" vertical="center" wrapText="1"/>
      <protection locked="0"/>
    </xf>
    <xf numFmtId="49" fontId="11" fillId="2" borderId="30" xfId="102" applyNumberFormat="1" applyFont="1" applyFill="1" applyBorder="1" applyAlignment="1" applyProtection="1">
      <alignment horizontal="left" vertical="center" wrapText="1"/>
      <protection locked="0"/>
    </xf>
    <xf numFmtId="0" fontId="64" fillId="44" borderId="7" xfId="106" applyFont="1" applyFill="1" applyBorder="1" applyAlignment="1">
      <alignment horizontal="center" vertical="center" wrapText="1"/>
    </xf>
    <xf numFmtId="49" fontId="78" fillId="0" borderId="9" xfId="106" applyNumberFormat="1" applyFont="1" applyFill="1" applyBorder="1" applyAlignment="1" applyProtection="1">
      <alignment horizontal="left" vertical="center" wrapText="1" indent="1"/>
    </xf>
    <xf numFmtId="49" fontId="13" fillId="7" borderId="32" xfId="106" applyNumberFormat="1" applyFont="1" applyFill="1" applyBorder="1" applyAlignment="1">
      <alignment vertical="center" wrapText="1"/>
    </xf>
    <xf numFmtId="49" fontId="13" fillId="7" borderId="33" xfId="106" applyNumberFormat="1" applyFont="1" applyFill="1" applyBorder="1" applyAlignment="1">
      <alignment vertical="center" wrapText="1"/>
    </xf>
    <xf numFmtId="0" fontId="11" fillId="45" borderId="31" xfId="106" applyFont="1" applyFill="1" applyBorder="1" applyAlignment="1">
      <alignment horizontal="left" vertical="center" wrapText="1"/>
    </xf>
    <xf numFmtId="0" fontId="11" fillId="45" borderId="32" xfId="106" applyFont="1" applyFill="1" applyBorder="1" applyAlignment="1">
      <alignment horizontal="left" vertical="center" indent="1"/>
    </xf>
    <xf numFmtId="0" fontId="11" fillId="45" borderId="33" xfId="106" applyFont="1" applyFill="1" applyBorder="1" applyAlignment="1">
      <alignment horizontal="left" vertical="center" indent="1"/>
    </xf>
    <xf numFmtId="0" fontId="78" fillId="0" borderId="0" xfId="106" applyFont="1" applyAlignment="1">
      <alignment vertical="center"/>
    </xf>
    <xf numFmtId="0" fontId="13" fillId="0" borderId="30" xfId="106" applyFont="1" applyBorder="1" applyAlignment="1">
      <alignment horizontal="left" vertical="center" wrapText="1"/>
    </xf>
    <xf numFmtId="0" fontId="13" fillId="0" borderId="30" xfId="49" applyFont="1" applyBorder="1" applyAlignment="1">
      <alignment horizontal="center" vertical="center" wrapText="1"/>
    </xf>
    <xf numFmtId="4" fontId="78" fillId="2" borderId="30" xfId="106" applyNumberFormat="1" applyFont="1" applyFill="1" applyBorder="1" applyAlignment="1" applyProtection="1">
      <alignment horizontal="right" vertical="center"/>
      <protection locked="0"/>
    </xf>
    <xf numFmtId="4" fontId="13" fillId="43" borderId="30" xfId="106" applyNumberFormat="1" applyFont="1" applyFill="1" applyBorder="1" applyAlignment="1">
      <alignment vertical="center"/>
    </xf>
    <xf numFmtId="0" fontId="11" fillId="0" borderId="30" xfId="106" applyFont="1" applyBorder="1" applyAlignment="1">
      <alignment horizontal="left" vertical="center" wrapText="1"/>
    </xf>
    <xf numFmtId="4" fontId="11" fillId="7" borderId="7" xfId="0" applyNumberFormat="1" applyFont="1" applyFill="1" applyBorder="1" applyAlignment="1">
      <alignment horizontal="right" vertical="center" wrapText="1"/>
    </xf>
    <xf numFmtId="4" fontId="11" fillId="43" borderId="30" xfId="106" applyNumberFormat="1" applyFont="1" applyFill="1" applyBorder="1" applyAlignment="1">
      <alignment vertical="center"/>
    </xf>
    <xf numFmtId="4" fontId="64" fillId="2" borderId="30" xfId="106" applyNumberFormat="1" applyFont="1" applyFill="1" applyBorder="1" applyAlignment="1" applyProtection="1">
      <alignment horizontal="right" vertical="center"/>
      <protection locked="0"/>
    </xf>
    <xf numFmtId="4" fontId="11" fillId="2" borderId="30" xfId="106" applyNumberFormat="1" applyFont="1" applyFill="1" applyBorder="1" applyAlignment="1" applyProtection="1">
      <alignment vertical="center"/>
      <protection locked="0"/>
    </xf>
    <xf numFmtId="0" fontId="11" fillId="0" borderId="30" xfId="106" applyFont="1" applyBorder="1" applyAlignment="1">
      <alignment horizontal="left" vertical="center" wrapText="1" indent="1"/>
    </xf>
    <xf numFmtId="49" fontId="13" fillId="0" borderId="7" xfId="106" applyNumberFormat="1" applyFont="1" applyBorder="1" applyAlignment="1">
      <alignment horizontal="center" vertical="center" wrapText="1"/>
    </xf>
    <xf numFmtId="0" fontId="13" fillId="0" borderId="7" xfId="106" applyFont="1" applyBorder="1" applyAlignment="1">
      <alignment vertical="center" wrapText="1"/>
    </xf>
    <xf numFmtId="0" fontId="13" fillId="0" borderId="7" xfId="106" applyFont="1" applyBorder="1" applyAlignment="1">
      <alignment horizontal="center" vertical="center" wrapText="1"/>
    </xf>
    <xf numFmtId="4" fontId="78" fillId="7" borderId="7" xfId="106" applyNumberFormat="1" applyFont="1" applyFill="1" applyBorder="1" applyAlignment="1">
      <alignment horizontal="right" vertical="center"/>
    </xf>
    <xf numFmtId="4" fontId="78" fillId="43" borderId="7" xfId="106" applyNumberFormat="1" applyFont="1" applyFill="1" applyBorder="1" applyAlignment="1">
      <alignment horizontal="right" vertical="center"/>
    </xf>
    <xf numFmtId="49" fontId="64" fillId="0" borderId="7" xfId="106" applyNumberFormat="1" applyFont="1" applyBorder="1" applyAlignment="1">
      <alignment horizontal="center" vertical="center"/>
    </xf>
    <xf numFmtId="0" fontId="64" fillId="0" borderId="7" xfId="106" applyFont="1" applyBorder="1" applyAlignment="1">
      <alignment horizontal="left" vertical="center" wrapText="1" indent="1"/>
    </xf>
    <xf numFmtId="0" fontId="64" fillId="0" borderId="7" xfId="106" applyFont="1" applyBorder="1" applyAlignment="1">
      <alignment horizontal="center" vertical="center"/>
    </xf>
    <xf numFmtId="4" fontId="64" fillId="2" borderId="7" xfId="106" applyNumberFormat="1" applyFont="1" applyFill="1" applyBorder="1" applyAlignment="1" applyProtection="1">
      <alignment horizontal="right" vertical="center"/>
      <protection locked="0"/>
    </xf>
    <xf numFmtId="4" fontId="64" fillId="7" borderId="7" xfId="106" applyNumberFormat="1" applyFont="1" applyFill="1" applyBorder="1" applyAlignment="1">
      <alignment horizontal="right" vertical="center"/>
    </xf>
    <xf numFmtId="0" fontId="0" fillId="0" borderId="7" xfId="106" applyFont="1" applyBorder="1" applyAlignment="1">
      <alignment horizontal="left" vertical="center" wrapText="1" indent="1"/>
    </xf>
    <xf numFmtId="0" fontId="0" fillId="0" borderId="7" xfId="106" applyFont="1" applyBorder="1" applyAlignment="1">
      <alignment horizontal="center" vertical="center" wrapText="1"/>
    </xf>
    <xf numFmtId="0" fontId="64" fillId="0" borderId="7" xfId="106" applyFont="1" applyBorder="1" applyAlignment="1">
      <alignment horizontal="left" vertical="center" wrapText="1" indent="2"/>
    </xf>
    <xf numFmtId="4" fontId="64" fillId="43" borderId="7" xfId="106" applyNumberFormat="1" applyFont="1" applyFill="1" applyBorder="1" applyAlignment="1">
      <alignment horizontal="right" vertical="center"/>
    </xf>
    <xf numFmtId="0" fontId="0" fillId="0" borderId="7" xfId="106" applyFont="1" applyBorder="1" applyAlignment="1">
      <alignment horizontal="left" vertical="center" wrapText="1" indent="3"/>
    </xf>
    <xf numFmtId="0" fontId="64" fillId="0" borderId="7" xfId="106" applyFont="1" applyBorder="1" applyAlignment="1">
      <alignment horizontal="left" vertical="center" wrapText="1" indent="3"/>
    </xf>
    <xf numFmtId="4" fontId="64" fillId="43" borderId="7" xfId="106" applyNumberFormat="1" applyFont="1" applyFill="1" applyBorder="1" applyAlignment="1" applyProtection="1">
      <alignment horizontal="right" vertical="center"/>
    </xf>
    <xf numFmtId="0" fontId="0" fillId="0" borderId="7" xfId="106" applyFont="1" applyBorder="1" applyAlignment="1">
      <alignment horizontal="left" vertical="center" wrapText="1" indent="2"/>
    </xf>
    <xf numFmtId="0" fontId="64" fillId="44" borderId="7" xfId="106" applyFont="1" applyFill="1" applyBorder="1" applyAlignment="1">
      <alignment horizontal="left" vertical="center" wrapText="1" indent="3"/>
    </xf>
    <xf numFmtId="0" fontId="64" fillId="44" borderId="7" xfId="106" applyFont="1" applyFill="1" applyBorder="1" applyAlignment="1">
      <alignment horizontal="center" vertical="center"/>
    </xf>
    <xf numFmtId="4" fontId="64" fillId="7" borderId="7" xfId="106" applyNumberFormat="1" applyFont="1" applyFill="1" applyBorder="1" applyAlignment="1" applyProtection="1">
      <alignment horizontal="right" vertical="center"/>
    </xf>
    <xf numFmtId="0" fontId="64" fillId="44" borderId="7" xfId="106" applyFont="1" applyFill="1" applyBorder="1" applyAlignment="1">
      <alignment horizontal="left" vertical="center" wrapText="1" indent="2"/>
    </xf>
    <xf numFmtId="0" fontId="64" fillId="44" borderId="7" xfId="106" applyFont="1" applyFill="1" applyBorder="1" applyAlignment="1">
      <alignment horizontal="left" vertical="center" wrapText="1" indent="1"/>
    </xf>
    <xf numFmtId="4" fontId="0" fillId="2" borderId="7" xfId="106" applyNumberFormat="1" applyFont="1" applyFill="1" applyBorder="1" applyAlignment="1" applyProtection="1">
      <alignment horizontal="right" vertical="center" wrapText="1"/>
      <protection locked="0"/>
    </xf>
    <xf numFmtId="49" fontId="78" fillId="0" borderId="7" xfId="106" applyNumberFormat="1" applyFont="1" applyBorder="1" applyAlignment="1">
      <alignment horizontal="center" vertical="center"/>
    </xf>
    <xf numFmtId="0" fontId="78" fillId="0" borderId="7" xfId="106" applyFont="1" applyBorder="1" applyAlignment="1">
      <alignment horizontal="center" vertical="center"/>
    </xf>
    <xf numFmtId="4" fontId="78" fillId="7" borderId="7" xfId="106" applyNumberFormat="1" applyFont="1" applyFill="1" applyBorder="1" applyAlignment="1" applyProtection="1">
      <alignment horizontal="right" vertical="center"/>
    </xf>
    <xf numFmtId="0" fontId="78" fillId="0" borderId="7" xfId="106" applyFont="1" applyBorder="1" applyAlignment="1">
      <alignment vertical="center" wrapText="1"/>
    </xf>
    <xf numFmtId="4" fontId="78" fillId="43" borderId="7" xfId="106" applyNumberFormat="1" applyFont="1" applyFill="1" applyBorder="1" applyAlignment="1" applyProtection="1">
      <alignment horizontal="right" vertical="center"/>
    </xf>
    <xf numFmtId="4" fontId="78" fillId="2" borderId="7" xfId="106" applyNumberFormat="1" applyFont="1" applyFill="1" applyBorder="1" applyAlignment="1" applyProtection="1">
      <alignment horizontal="right" vertical="center"/>
      <protection locked="0"/>
    </xf>
    <xf numFmtId="49" fontId="64" fillId="44" borderId="7" xfId="106" applyNumberFormat="1" applyFont="1" applyFill="1" applyBorder="1" applyAlignment="1">
      <alignment horizontal="center" vertical="center"/>
    </xf>
    <xf numFmtId="4" fontId="64" fillId="0" borderId="7" xfId="106" applyNumberFormat="1" applyFont="1" applyFill="1" applyBorder="1" applyAlignment="1" applyProtection="1">
      <alignment horizontal="right" vertical="center"/>
    </xf>
    <xf numFmtId="49" fontId="0" fillId="0" borderId="7" xfId="106" applyNumberFormat="1" applyFont="1" applyBorder="1" applyAlignment="1">
      <alignment horizontal="center" vertical="center"/>
    </xf>
    <xf numFmtId="0" fontId="0" fillId="0" borderId="7" xfId="106" applyFont="1" applyBorder="1" applyAlignment="1">
      <alignment horizontal="center" vertical="center"/>
    </xf>
    <xf numFmtId="0" fontId="13" fillId="0" borderId="7" xfId="106" applyFont="1" applyBorder="1" applyAlignment="1">
      <alignment horizontal="left" vertical="center" wrapText="1"/>
    </xf>
    <xf numFmtId="0" fontId="13" fillId="0" borderId="7" xfId="49" applyFont="1" applyBorder="1" applyAlignment="1">
      <alignment horizontal="center" vertical="center" wrapText="1"/>
    </xf>
    <xf numFmtId="4" fontId="13" fillId="2" borderId="7" xfId="106" applyNumberFormat="1" applyFont="1" applyFill="1" applyBorder="1" applyAlignment="1" applyProtection="1">
      <alignment vertical="center"/>
      <protection locked="0"/>
    </xf>
    <xf numFmtId="0" fontId="11" fillId="0" borderId="7" xfId="106" applyFont="1" applyBorder="1" applyAlignment="1">
      <alignment horizontal="left" vertical="center" wrapText="1"/>
    </xf>
    <xf numFmtId="0" fontId="11" fillId="43" borderId="7" xfId="106" applyFont="1" applyFill="1" applyBorder="1" applyAlignment="1">
      <alignment vertical="center"/>
    </xf>
    <xf numFmtId="0" fontId="11" fillId="11" borderId="30" xfId="106" applyFont="1" applyFill="1" applyBorder="1" applyAlignment="1" applyProtection="1">
      <alignment horizontal="left" vertical="center" wrapText="1"/>
      <protection locked="0"/>
    </xf>
    <xf numFmtId="0" fontId="11" fillId="0" borderId="30" xfId="97" applyFont="1" applyBorder="1" applyAlignment="1">
      <alignment horizontal="center" vertical="center" wrapText="1"/>
    </xf>
    <xf numFmtId="0" fontId="11" fillId="9" borderId="30" xfId="102" applyFont="1" applyFill="1" applyBorder="1" applyAlignment="1">
      <alignment horizontal="center" vertical="center" wrapText="1"/>
    </xf>
    <xf numFmtId="0" fontId="64" fillId="0" borderId="30" xfId="102" applyFont="1" applyBorder="1" applyAlignment="1">
      <alignment horizontal="center" vertical="center" wrapText="1"/>
    </xf>
    <xf numFmtId="0" fontId="64" fillId="0" borderId="7" xfId="106" applyFont="1" applyBorder="1" applyAlignment="1">
      <alignment horizontal="center" vertical="center" wrapText="1"/>
    </xf>
    <xf numFmtId="4" fontId="64" fillId="2" borderId="67" xfId="106" applyNumberFormat="1" applyFont="1" applyFill="1" applyBorder="1" applyAlignment="1" applyProtection="1">
      <alignment horizontal="right" vertical="center"/>
      <protection locked="0"/>
    </xf>
    <xf numFmtId="0" fontId="95" fillId="45" borderId="32" xfId="99" applyNumberFormat="1" applyFont="1" applyFill="1" applyBorder="1" applyAlignment="1">
      <alignment horizontal="left" vertical="center" indent="1"/>
    </xf>
    <xf numFmtId="4" fontId="96" fillId="51" borderId="6" xfId="0" applyNumberFormat="1" applyFont="1" applyFill="1" applyBorder="1" applyAlignment="1">
      <alignment horizontal="right" vertical="center"/>
    </xf>
    <xf numFmtId="169" fontId="64" fillId="2" borderId="7" xfId="106" applyNumberFormat="1" applyFont="1" applyFill="1" applyBorder="1" applyAlignment="1" applyProtection="1">
      <alignment horizontal="right" vertical="center"/>
      <protection locked="0"/>
    </xf>
    <xf numFmtId="169" fontId="64" fillId="7" borderId="7" xfId="106" applyNumberFormat="1" applyFont="1" applyFill="1" applyBorder="1" applyAlignment="1">
      <alignment horizontal="right" vertical="center"/>
    </xf>
    <xf numFmtId="49" fontId="88" fillId="49" borderId="55" xfId="0" applyFont="1" applyFill="1" applyBorder="1" applyAlignment="1">
      <alignment horizontal="left" vertical="center"/>
    </xf>
    <xf numFmtId="49" fontId="78" fillId="2" borderId="7" xfId="107" applyNumberFormat="1" applyFont="1" applyFill="1" applyBorder="1" applyAlignment="1" applyProtection="1">
      <alignment horizontal="left" vertical="center" wrapText="1"/>
      <protection locked="0"/>
    </xf>
    <xf numFmtId="49" fontId="64" fillId="2" borderId="7" xfId="107" applyNumberFormat="1" applyFont="1" applyFill="1" applyBorder="1" applyAlignment="1" applyProtection="1">
      <alignment horizontal="left" vertical="center" wrapText="1"/>
      <protection locked="0"/>
    </xf>
    <xf numFmtId="0" fontId="11" fillId="0" borderId="7" xfId="106" applyFont="1" applyBorder="1" applyAlignment="1">
      <alignment horizontal="left" vertical="center" wrapText="1" indent="1"/>
    </xf>
    <xf numFmtId="169" fontId="11" fillId="7" borderId="30" xfId="102" applyNumberFormat="1" applyFont="1" applyFill="1" applyBorder="1" applyAlignment="1" applyProtection="1">
      <alignment horizontal="right" vertical="center"/>
    </xf>
    <xf numFmtId="169" fontId="64" fillId="2" borderId="43" xfId="106" applyNumberFormat="1" applyFont="1" applyFill="1" applyBorder="1" applyAlignment="1" applyProtection="1">
      <alignment horizontal="right" vertical="center"/>
      <protection locked="0"/>
    </xf>
    <xf numFmtId="169" fontId="64" fillId="2" borderId="67" xfId="106" applyNumberFormat="1" applyFont="1" applyFill="1" applyBorder="1" applyAlignment="1" applyProtection="1">
      <alignment horizontal="right" vertical="center"/>
      <protection locked="0"/>
    </xf>
    <xf numFmtId="169" fontId="64" fillId="2" borderId="7" xfId="107" applyNumberFormat="1" applyFont="1" applyFill="1" applyBorder="1" applyAlignment="1" applyProtection="1">
      <alignment horizontal="right" vertical="center" wrapText="1"/>
      <protection locked="0"/>
    </xf>
    <xf numFmtId="169" fontId="15" fillId="2" borderId="7" xfId="107" applyNumberFormat="1" applyFont="1" applyFill="1" applyBorder="1" applyAlignment="1" applyProtection="1">
      <alignment horizontal="right" vertical="center" wrapText="1"/>
      <protection locked="0"/>
    </xf>
    <xf numFmtId="0" fontId="13" fillId="0" borderId="9" xfId="99" quotePrefix="1" applyNumberFormat="1" applyFont="1" applyFill="1" applyBorder="1" applyAlignment="1" applyProtection="1">
      <alignment horizontal="left" vertical="center" indent="1"/>
    </xf>
    <xf numFmtId="0" fontId="78" fillId="0" borderId="9" xfId="102" quotePrefix="1" applyFont="1" applyFill="1" applyBorder="1" applyAlignment="1">
      <alignment horizontal="left" vertical="center" indent="1"/>
    </xf>
    <xf numFmtId="49" fontId="78" fillId="0" borderId="9" xfId="102" quotePrefix="1" applyNumberFormat="1" applyFont="1" applyFill="1" applyBorder="1" applyAlignment="1">
      <alignment horizontal="left" vertical="center" indent="1"/>
    </xf>
    <xf numFmtId="49" fontId="78" fillId="0" borderId="9" xfId="102" quotePrefix="1" applyNumberFormat="1" applyFont="1" applyFill="1" applyBorder="1" applyAlignment="1" applyProtection="1">
      <alignment horizontal="left" vertical="center" indent="1"/>
    </xf>
    <xf numFmtId="49" fontId="78" fillId="0" borderId="9" xfId="106" quotePrefix="1" applyNumberFormat="1" applyFont="1" applyFill="1" applyBorder="1" applyAlignment="1" applyProtection="1">
      <alignment horizontal="left" vertical="center" indent="1"/>
    </xf>
    <xf numFmtId="0" fontId="25" fillId="0" borderId="0" xfId="110" applyFont="1"/>
    <xf numFmtId="0" fontId="25" fillId="0" borderId="0" xfId="110" applyFont="1" applyFill="1"/>
    <xf numFmtId="0" fontId="26" fillId="0" borderId="9" xfId="110" applyFont="1" applyFill="1" applyBorder="1" applyAlignment="1">
      <alignment horizontal="left" vertical="center" indent="1"/>
    </xf>
    <xf numFmtId="0" fontId="25" fillId="0" borderId="9" xfId="110" applyFont="1" applyFill="1" applyBorder="1"/>
    <xf numFmtId="0" fontId="25" fillId="0" borderId="0" xfId="110" applyFont="1" applyFill="1" applyAlignment="1">
      <alignment vertical="center"/>
    </xf>
    <xf numFmtId="49" fontId="14" fillId="0" borderId="0" xfId="105" applyNumberFormat="1" applyFont="1" applyAlignment="1">
      <alignment horizontal="center"/>
    </xf>
    <xf numFmtId="49" fontId="64" fillId="0" borderId="7" xfId="102" applyNumberFormat="1" applyFont="1" applyBorder="1" applyAlignment="1">
      <alignment horizontal="center" vertical="center"/>
    </xf>
    <xf numFmtId="0" fontId="64" fillId="0" borderId="33" xfId="102" applyFont="1" applyBorder="1" applyAlignment="1">
      <alignment vertical="center"/>
    </xf>
    <xf numFmtId="0" fontId="64" fillId="0" borderId="33" xfId="102" applyFont="1" applyBorder="1" applyAlignment="1">
      <alignment vertical="center" wrapText="1"/>
    </xf>
    <xf numFmtId="0" fontId="11" fillId="0" borderId="30" xfId="97" applyFont="1" applyBorder="1" applyAlignment="1">
      <alignment vertical="center" wrapText="1"/>
    </xf>
    <xf numFmtId="0" fontId="11" fillId="0" borderId="33" xfId="102" applyFont="1" applyBorder="1" applyAlignment="1">
      <alignment horizontal="left" vertical="center" wrapText="1" indent="1"/>
    </xf>
    <xf numFmtId="0" fontId="11" fillId="0" borderId="30" xfId="97" applyFont="1" applyBorder="1" applyAlignment="1">
      <alignment horizontal="left" vertical="center" wrapText="1" indent="2"/>
    </xf>
    <xf numFmtId="0" fontId="64" fillId="0" borderId="30" xfId="102" applyFont="1" applyBorder="1" applyAlignment="1">
      <alignment horizontal="left" vertical="center" wrapText="1" indent="3"/>
    </xf>
    <xf numFmtId="0" fontId="11" fillId="0" borderId="32" xfId="97" applyFont="1" applyBorder="1" applyAlignment="1">
      <alignment horizontal="left" vertical="center" wrapText="1" indent="1"/>
    </xf>
    <xf numFmtId="49" fontId="64" fillId="0" borderId="7" xfId="111" applyNumberFormat="1" applyFont="1" applyBorder="1" applyAlignment="1">
      <alignment horizontal="center" vertical="center"/>
    </xf>
    <xf numFmtId="0" fontId="64" fillId="0" borderId="33" xfId="111" applyFont="1" applyBorder="1" applyAlignment="1">
      <alignment vertical="center"/>
    </xf>
    <xf numFmtId="0" fontId="11" fillId="0" borderId="70" xfId="97" applyFont="1" applyBorder="1" applyAlignment="1">
      <alignment vertical="center" wrapText="1"/>
    </xf>
    <xf numFmtId="0" fontId="11" fillId="0" borderId="70" xfId="97" applyFont="1" applyBorder="1" applyAlignment="1">
      <alignment horizontal="left" vertical="center" wrapText="1" indent="1"/>
    </xf>
    <xf numFmtId="0" fontId="11" fillId="0" borderId="32" xfId="97" applyFont="1" applyBorder="1" applyAlignment="1">
      <alignment vertical="center" wrapText="1"/>
    </xf>
    <xf numFmtId="0" fontId="64" fillId="0" borderId="30" xfId="111" applyFont="1" applyBorder="1" applyAlignment="1">
      <alignment horizontal="left" vertical="center"/>
    </xf>
    <xf numFmtId="0" fontId="64" fillId="0" borderId="30" xfId="111" applyFont="1" applyBorder="1" applyAlignment="1">
      <alignment horizontal="left" vertical="center" wrapText="1"/>
    </xf>
    <xf numFmtId="0" fontId="64" fillId="0" borderId="30" xfId="111" applyFont="1" applyBorder="1" applyAlignment="1">
      <alignment horizontal="left" vertical="center" wrapText="1" indent="2"/>
    </xf>
    <xf numFmtId="0" fontId="64" fillId="0" borderId="30" xfId="111" applyFont="1" applyBorder="1" applyAlignment="1">
      <alignment horizontal="left" vertical="center" wrapText="1" indent="1"/>
    </xf>
    <xf numFmtId="0" fontId="11" fillId="0" borderId="31" xfId="97" applyFont="1" applyBorder="1" applyAlignment="1">
      <alignment horizontal="left" vertical="center" wrapText="1"/>
    </xf>
    <xf numFmtId="0" fontId="64" fillId="0" borderId="7" xfId="111" applyFont="1" applyBorder="1" applyAlignment="1">
      <alignment vertical="center"/>
    </xf>
    <xf numFmtId="0" fontId="64" fillId="0" borderId="7" xfId="111" applyFont="1" applyBorder="1" applyAlignment="1">
      <alignment vertical="center" wrapText="1"/>
    </xf>
    <xf numFmtId="0" fontId="11" fillId="0" borderId="7" xfId="97" applyFont="1" applyBorder="1" applyAlignment="1">
      <alignment vertical="center" wrapText="1"/>
    </xf>
    <xf numFmtId="0" fontId="11" fillId="0" borderId="7" xfId="97" applyFont="1" applyBorder="1" applyAlignment="1">
      <alignment horizontal="left" vertical="center" wrapText="1" indent="1"/>
    </xf>
    <xf numFmtId="0" fontId="64" fillId="0" borderId="7" xfId="111" applyFont="1" applyBorder="1" applyAlignment="1">
      <alignment horizontal="left" vertical="center" indent="1"/>
    </xf>
    <xf numFmtId="0" fontId="64" fillId="0" borderId="7" xfId="111" applyFont="1" applyBorder="1" applyAlignment="1">
      <alignment horizontal="left" vertical="center" indent="2"/>
    </xf>
    <xf numFmtId="0" fontId="64" fillId="0" borderId="7" xfId="111" applyFont="1" applyBorder="1" applyAlignment="1">
      <alignment horizontal="left" vertical="center" wrapText="1" indent="1"/>
    </xf>
    <xf numFmtId="169" fontId="64" fillId="2" borderId="30" xfId="102" applyNumberFormat="1" applyFont="1" applyFill="1" applyBorder="1" applyAlignment="1" applyProtection="1">
      <alignment horizontal="right" vertical="center"/>
      <protection locked="0"/>
    </xf>
    <xf numFmtId="169" fontId="11" fillId="7" borderId="30" xfId="102" applyNumberFormat="1" applyFont="1" applyFill="1" applyBorder="1" applyAlignment="1">
      <alignment horizontal="right" vertical="center"/>
    </xf>
    <xf numFmtId="169" fontId="11" fillId="43" borderId="30" xfId="102" applyNumberFormat="1" applyFont="1" applyFill="1" applyBorder="1" applyAlignment="1">
      <alignment horizontal="right" vertical="center"/>
    </xf>
    <xf numFmtId="169" fontId="11" fillId="0" borderId="0" xfId="0" applyNumberFormat="1" applyFont="1" applyFill="1" applyBorder="1" applyAlignment="1" applyProtection="1">
      <alignment vertical="top"/>
    </xf>
    <xf numFmtId="169" fontId="17" fillId="0" borderId="0" xfId="0" applyNumberFormat="1" applyFont="1" applyFill="1" applyBorder="1" applyAlignment="1" applyProtection="1">
      <alignment vertical="top"/>
    </xf>
    <xf numFmtId="169" fontId="90" fillId="51" borderId="6" xfId="0" applyNumberFormat="1" applyFont="1" applyFill="1" applyBorder="1" applyAlignment="1">
      <alignment horizontal="left" vertical="center"/>
    </xf>
    <xf numFmtId="169" fontId="64" fillId="43" borderId="30" xfId="102" applyNumberFormat="1" applyFont="1" applyFill="1" applyBorder="1" applyAlignment="1">
      <alignment horizontal="right" vertical="center"/>
    </xf>
    <xf numFmtId="169" fontId="64" fillId="7" borderId="30" xfId="102" applyNumberFormat="1" applyFont="1" applyFill="1" applyBorder="1" applyAlignment="1" applyProtection="1">
      <alignment horizontal="right" vertical="center"/>
    </xf>
    <xf numFmtId="0" fontId="13" fillId="0" borderId="7" xfId="105" applyFont="1" applyBorder="1" applyAlignment="1">
      <alignment vertical="center" wrapText="1"/>
    </xf>
    <xf numFmtId="169" fontId="78" fillId="43" borderId="7" xfId="106" applyNumberFormat="1" applyFont="1" applyFill="1" applyBorder="1" applyAlignment="1">
      <alignment horizontal="right" vertical="center"/>
    </xf>
    <xf numFmtId="4" fontId="64" fillId="7" borderId="7" xfId="112" applyNumberFormat="1" applyFont="1" applyFill="1" applyBorder="1" applyAlignment="1">
      <alignment horizontal="right" vertical="center"/>
    </xf>
    <xf numFmtId="169" fontId="64" fillId="2" borderId="7" xfId="112" applyNumberFormat="1" applyFont="1" applyFill="1" applyBorder="1" applyAlignment="1" applyProtection="1">
      <alignment horizontal="right" vertical="center"/>
      <protection locked="0"/>
    </xf>
    <xf numFmtId="4" fontId="64" fillId="2" borderId="7" xfId="112" applyNumberFormat="1" applyFont="1" applyFill="1" applyBorder="1" applyAlignment="1" applyProtection="1">
      <alignment horizontal="right" vertical="center"/>
      <protection locked="0"/>
    </xf>
    <xf numFmtId="4" fontId="78" fillId="43" borderId="7" xfId="112" applyNumberFormat="1" applyFont="1" applyFill="1" applyBorder="1" applyAlignment="1">
      <alignment horizontal="right" vertical="center"/>
    </xf>
    <xf numFmtId="0" fontId="78" fillId="0" borderId="7" xfId="106" applyFont="1" applyBorder="1" applyAlignment="1">
      <alignment horizontal="left" vertical="center" wrapText="1" indent="1"/>
    </xf>
    <xf numFmtId="4" fontId="78" fillId="0" borderId="7" xfId="106" applyNumberFormat="1" applyFont="1" applyFill="1" applyBorder="1" applyAlignment="1" applyProtection="1">
      <alignment horizontal="right" vertical="center"/>
    </xf>
    <xf numFmtId="49" fontId="78" fillId="2" borderId="30" xfId="102" applyNumberFormat="1" applyFont="1" applyFill="1" applyBorder="1" applyAlignment="1" applyProtection="1">
      <alignment horizontal="left" vertical="center" wrapText="1"/>
      <protection locked="0"/>
    </xf>
    <xf numFmtId="0" fontId="11" fillId="0" borderId="7" xfId="102" applyFont="1" applyBorder="1" applyAlignment="1">
      <alignment horizontal="left" vertical="center" wrapText="1"/>
    </xf>
    <xf numFmtId="0" fontId="13" fillId="0" borderId="7" xfId="106" applyFont="1" applyBorder="1" applyAlignment="1">
      <alignment horizontal="left" vertical="center" wrapText="1" indent="1"/>
    </xf>
    <xf numFmtId="0" fontId="64" fillId="0" borderId="30" xfId="102" applyFont="1" applyBorder="1" applyAlignment="1">
      <alignment horizontal="center" vertical="center" wrapText="1"/>
    </xf>
    <xf numFmtId="0" fontId="64" fillId="7" borderId="31" xfId="102" applyFont="1" applyFill="1" applyBorder="1" applyAlignment="1">
      <alignment horizontal="left" vertical="center" indent="1"/>
    </xf>
    <xf numFmtId="0" fontId="64" fillId="7" borderId="32" xfId="102" applyFont="1" applyFill="1" applyBorder="1" applyAlignment="1">
      <alignment horizontal="left" vertical="center" indent="1"/>
    </xf>
    <xf numFmtId="0" fontId="64" fillId="7" borderId="33" xfId="102" applyFont="1" applyFill="1" applyBorder="1" applyAlignment="1">
      <alignment horizontal="left" vertical="center" indent="1"/>
    </xf>
    <xf numFmtId="0" fontId="64" fillId="0" borderId="30" xfId="102" applyFont="1" applyBorder="1" applyAlignment="1">
      <alignment horizontal="center" vertical="center" wrapText="1"/>
    </xf>
    <xf numFmtId="0" fontId="11" fillId="9" borderId="30" xfId="102" applyFont="1" applyFill="1" applyBorder="1" applyAlignment="1">
      <alignment horizontal="center" vertical="center" wrapText="1"/>
    </xf>
    <xf numFmtId="4" fontId="11" fillId="7" borderId="30" xfId="102" applyNumberFormat="1" applyFont="1" applyFill="1" applyBorder="1" applyAlignment="1">
      <alignment horizontal="right" vertical="center"/>
    </xf>
    <xf numFmtId="0" fontId="64" fillId="0" borderId="0" xfId="102" applyFont="1" applyAlignment="1">
      <alignment horizontal="left" vertical="center"/>
    </xf>
    <xf numFmtId="4" fontId="78" fillId="0" borderId="7" xfId="106" applyNumberFormat="1" applyFont="1" applyBorder="1" applyAlignment="1">
      <alignment horizontal="right" vertical="center"/>
    </xf>
    <xf numFmtId="4" fontId="64" fillId="0" borderId="7" xfId="106" applyNumberFormat="1" applyFont="1" applyBorder="1" applyAlignment="1">
      <alignment horizontal="right" vertical="center"/>
    </xf>
    <xf numFmtId="49" fontId="64" fillId="0" borderId="30" xfId="102" applyNumberFormat="1" applyFont="1" applyBorder="1" applyAlignment="1">
      <alignment horizontal="left" vertical="center" wrapText="1"/>
    </xf>
    <xf numFmtId="0" fontId="99" fillId="0" borderId="0" xfId="106" applyFont="1" applyAlignment="1">
      <alignment vertical="center"/>
    </xf>
    <xf numFmtId="49" fontId="88" fillId="49" borderId="6" xfId="0" applyFont="1" applyFill="1" applyBorder="1" applyAlignment="1">
      <alignment horizontal="left" vertical="center" wrapText="1" indent="2"/>
    </xf>
    <xf numFmtId="49" fontId="0" fillId="8" borderId="0" xfId="0" applyFill="1" applyBorder="1">
      <alignment vertical="top"/>
    </xf>
    <xf numFmtId="49" fontId="11" fillId="0" borderId="0" xfId="0" applyFont="1" applyBorder="1">
      <alignment vertical="top"/>
    </xf>
    <xf numFmtId="0" fontId="17" fillId="0" borderId="0" xfId="0" applyNumberFormat="1" applyFont="1" applyBorder="1">
      <alignment vertical="top"/>
    </xf>
    <xf numFmtId="49" fontId="17" fillId="0" borderId="0" xfId="0" applyFont="1" applyBorder="1">
      <alignment vertical="top"/>
    </xf>
    <xf numFmtId="0" fontId="64" fillId="11" borderId="7" xfId="106" applyFont="1" applyFill="1" applyBorder="1" applyAlignment="1" applyProtection="1">
      <alignment horizontal="left" vertical="center" wrapText="1" indent="1"/>
      <protection locked="0"/>
    </xf>
    <xf numFmtId="0" fontId="13" fillId="0" borderId="7" xfId="102" applyFont="1" applyBorder="1" applyAlignment="1">
      <alignment horizontal="left" vertical="center" wrapText="1"/>
    </xf>
    <xf numFmtId="0" fontId="64" fillId="0" borderId="0" xfId="98" applyNumberFormat="1" applyFont="1" applyAlignment="1"/>
    <xf numFmtId="49" fontId="64" fillId="0" borderId="0" xfId="98" applyNumberFormat="1" applyFont="1" applyAlignment="1"/>
    <xf numFmtId="0" fontId="11" fillId="0" borderId="0" xfId="98" applyFont="1" applyFill="1" applyAlignment="1" applyProtection="1"/>
    <xf numFmtId="49" fontId="64" fillId="0" borderId="0" xfId="97" applyNumberFormat="1" applyFont="1" applyAlignment="1"/>
    <xf numFmtId="169" fontId="64" fillId="2" borderId="30" xfId="106" applyNumberFormat="1" applyFont="1" applyFill="1" applyBorder="1" applyAlignment="1" applyProtection="1">
      <alignment horizontal="right" vertical="center"/>
      <protection locked="0"/>
    </xf>
    <xf numFmtId="49" fontId="88" fillId="49" borderId="63" xfId="0" applyFont="1" applyFill="1" applyBorder="1" applyAlignment="1">
      <alignment horizontal="left" vertical="center" wrapText="1"/>
    </xf>
    <xf numFmtId="49" fontId="88" fillId="49" borderId="64" xfId="0" applyFont="1" applyFill="1" applyBorder="1" applyAlignment="1">
      <alignment horizontal="left" vertical="center" wrapText="1"/>
    </xf>
    <xf numFmtId="49" fontId="88" fillId="49" borderId="64" xfId="0" applyFont="1" applyFill="1" applyBorder="1" applyAlignment="1">
      <alignment horizontal="left" vertical="center" wrapText="1" indent="1"/>
    </xf>
    <xf numFmtId="49" fontId="11" fillId="8" borderId="0" xfId="0" applyFont="1" applyFill="1" applyBorder="1">
      <alignment vertical="top"/>
    </xf>
    <xf numFmtId="49" fontId="11" fillId="11" borderId="30" xfId="106" applyNumberFormat="1" applyFont="1" applyFill="1" applyBorder="1" applyAlignment="1" applyProtection="1">
      <alignment horizontal="left" vertical="center" wrapText="1"/>
      <protection locked="0"/>
    </xf>
    <xf numFmtId="0" fontId="11" fillId="0" borderId="30" xfId="49" applyBorder="1" applyAlignment="1">
      <alignment horizontal="center" vertical="center" wrapText="1"/>
    </xf>
    <xf numFmtId="0" fontId="64" fillId="0" borderId="7" xfId="112" applyFont="1" applyBorder="1" applyAlignment="1">
      <alignment horizontal="center" vertical="center"/>
    </xf>
    <xf numFmtId="169" fontId="11" fillId="7" borderId="30" xfId="106" applyNumberFormat="1" applyFont="1" applyFill="1" applyBorder="1" applyAlignment="1">
      <alignment vertical="center"/>
    </xf>
    <xf numFmtId="0" fontId="14" fillId="49" borderId="0" xfId="97" applyFont="1" applyFill="1" applyAlignment="1">
      <alignment vertical="center"/>
    </xf>
    <xf numFmtId="0" fontId="3" fillId="0" borderId="0" xfId="112"/>
    <xf numFmtId="49" fontId="64" fillId="44" borderId="7" xfId="107" applyNumberFormat="1" applyFont="1" applyFill="1" applyBorder="1" applyAlignment="1">
      <alignment horizontal="center" vertical="center"/>
    </xf>
    <xf numFmtId="0" fontId="64" fillId="44" borderId="7" xfId="107" applyFont="1" applyFill="1" applyBorder="1" applyAlignment="1">
      <alignment horizontal="left" vertical="center" wrapText="1" indent="2"/>
    </xf>
    <xf numFmtId="0" fontId="11" fillId="0" borderId="0" xfId="99" applyNumberFormat="1" applyAlignment="1">
      <alignment vertical="center"/>
    </xf>
    <xf numFmtId="0" fontId="11" fillId="0" borderId="30" xfId="102" applyFont="1" applyBorder="1" applyAlignment="1">
      <alignment horizontal="left" vertical="center" wrapText="1" indent="1"/>
    </xf>
    <xf numFmtId="0" fontId="11" fillId="0" borderId="30" xfId="102" applyFont="1" applyBorder="1" applyAlignment="1">
      <alignment horizontal="left" vertical="center" wrapText="1" indent="2"/>
    </xf>
    <xf numFmtId="0" fontId="64" fillId="0" borderId="0" xfId="106" applyFont="1" applyAlignment="1">
      <alignment vertical="center"/>
    </xf>
    <xf numFmtId="0" fontId="64" fillId="0" borderId="7" xfId="107" applyFont="1" applyBorder="1" applyAlignment="1">
      <alignment horizontal="center" vertical="center" wrapText="1"/>
    </xf>
    <xf numFmtId="0" fontId="64" fillId="0" borderId="52" xfId="106" applyFont="1" applyBorder="1" applyAlignment="1">
      <alignment horizontal="center" vertical="center" wrapText="1"/>
    </xf>
    <xf numFmtId="0" fontId="90" fillId="51" borderId="7" xfId="0" applyNumberFormat="1" applyFont="1" applyFill="1" applyBorder="1" applyAlignment="1">
      <alignment horizontal="left" vertical="center"/>
    </xf>
    <xf numFmtId="0" fontId="78" fillId="44" borderId="7" xfId="107" applyFont="1" applyFill="1" applyBorder="1" applyAlignment="1">
      <alignment horizontal="center" vertical="center"/>
    </xf>
    <xf numFmtId="0" fontId="78" fillId="44" borderId="7" xfId="107" applyFont="1" applyFill="1" applyBorder="1" applyAlignment="1">
      <alignment horizontal="left" vertical="center" wrapText="1"/>
    </xf>
    <xf numFmtId="0" fontId="78" fillId="44" borderId="7" xfId="107" applyFont="1" applyFill="1" applyBorder="1" applyAlignment="1">
      <alignment horizontal="center" vertical="center" wrapText="1"/>
    </xf>
    <xf numFmtId="49" fontId="78" fillId="0" borderId="7" xfId="107" applyNumberFormat="1" applyFont="1" applyBorder="1" applyAlignment="1">
      <alignment horizontal="center" vertical="center"/>
    </xf>
    <xf numFmtId="0" fontId="78" fillId="0" borderId="7" xfId="107" applyFont="1" applyBorder="1" applyAlignment="1">
      <alignment horizontal="left" vertical="center" wrapText="1"/>
    </xf>
    <xf numFmtId="0" fontId="78" fillId="0" borderId="7" xfId="107" applyFont="1" applyBorder="1" applyAlignment="1">
      <alignment horizontal="center" vertical="center"/>
    </xf>
    <xf numFmtId="0" fontId="78" fillId="0" borderId="7" xfId="107" applyFont="1" applyBorder="1" applyAlignment="1">
      <alignment horizontal="center" vertical="center" wrapText="1"/>
    </xf>
    <xf numFmtId="4" fontId="78" fillId="2" borderId="7" xfId="107" applyNumberFormat="1" applyFont="1" applyFill="1" applyBorder="1" applyAlignment="1" applyProtection="1">
      <alignment horizontal="right" vertical="center" wrapText="1"/>
      <protection locked="0"/>
    </xf>
    <xf numFmtId="0" fontId="78" fillId="0" borderId="7" xfId="107" applyFont="1" applyBorder="1" applyAlignment="1">
      <alignment vertical="center" wrapText="1"/>
    </xf>
    <xf numFmtId="49" fontId="64" fillId="0" borderId="7" xfId="107" applyNumberFormat="1" applyFont="1" applyBorder="1" applyAlignment="1">
      <alignment horizontal="center" vertical="center"/>
    </xf>
    <xf numFmtId="0" fontId="64" fillId="0" borderId="7" xfId="108" applyFont="1" applyBorder="1" applyAlignment="1">
      <alignment horizontal="left" vertical="center" wrapText="1" indent="1"/>
    </xf>
    <xf numFmtId="0" fontId="64" fillId="0" borderId="7" xfId="107" applyFont="1" applyBorder="1" applyAlignment="1">
      <alignment horizontal="center" vertical="center"/>
    </xf>
    <xf numFmtId="4" fontId="15" fillId="43" borderId="7" xfId="107" applyNumberFormat="1" applyFont="1" applyFill="1" applyBorder="1" applyAlignment="1">
      <alignment horizontal="right" vertical="center" wrapText="1"/>
    </xf>
    <xf numFmtId="0" fontId="64" fillId="0" borderId="7" xfId="107" applyFont="1" applyBorder="1" applyAlignment="1">
      <alignment horizontal="right" vertical="center" wrapText="1"/>
    </xf>
    <xf numFmtId="0" fontId="64" fillId="0" borderId="7" xfId="107" applyFont="1" applyBorder="1" applyAlignment="1">
      <alignment horizontal="left" vertical="center" wrapText="1" indent="1"/>
    </xf>
    <xf numFmtId="0" fontId="64" fillId="0" borderId="7" xfId="107" applyFont="1" applyBorder="1" applyAlignment="1">
      <alignment horizontal="left" vertical="center" wrapText="1" indent="2"/>
    </xf>
    <xf numFmtId="0" fontId="64" fillId="0" borderId="7" xfId="108" quotePrefix="1" applyFont="1" applyBorder="1" applyAlignment="1">
      <alignment horizontal="left" vertical="center" wrapText="1" indent="1"/>
    </xf>
    <xf numFmtId="0" fontId="64" fillId="0" borderId="7" xfId="107" applyFont="1" applyBorder="1" applyAlignment="1">
      <alignment horizontal="left" vertical="center" wrapText="1"/>
    </xf>
    <xf numFmtId="0" fontId="64" fillId="0" borderId="7" xfId="107" applyFont="1" applyBorder="1" applyAlignment="1">
      <alignment vertical="center" wrapText="1"/>
    </xf>
    <xf numFmtId="4" fontId="13" fillId="2" borderId="7" xfId="104" applyNumberFormat="1" applyFont="1" applyFill="1" applyBorder="1" applyAlignment="1" applyProtection="1">
      <alignment horizontal="right" vertical="center" wrapText="1"/>
      <protection locked="0"/>
    </xf>
    <xf numFmtId="4" fontId="13" fillId="7" borderId="7" xfId="104" applyNumberFormat="1" applyFont="1" applyFill="1" applyBorder="1" applyAlignment="1">
      <alignment horizontal="right" vertical="center" wrapText="1"/>
    </xf>
    <xf numFmtId="0" fontId="70" fillId="8" borderId="0" xfId="106" applyFont="1" applyFill="1" applyAlignment="1">
      <alignment vertical="center"/>
    </xf>
    <xf numFmtId="0" fontId="78" fillId="0" borderId="7" xfId="106" applyFont="1" applyBorder="1" applyAlignment="1">
      <alignment horizontal="left" vertical="center" wrapText="1"/>
    </xf>
    <xf numFmtId="0" fontId="0" fillId="44" borderId="7" xfId="106" applyFont="1" applyFill="1" applyBorder="1" applyAlignment="1">
      <alignment horizontal="left" vertical="center" wrapText="1" indent="2"/>
    </xf>
    <xf numFmtId="169" fontId="64" fillId="7" borderId="7" xfId="112" applyNumberFormat="1" applyFont="1" applyFill="1" applyBorder="1" applyAlignment="1">
      <alignment horizontal="right" vertical="center"/>
    </xf>
    <xf numFmtId="0" fontId="70" fillId="0" borderId="0" xfId="106" applyFont="1" applyAlignment="1">
      <alignment horizontal="left" vertical="center" wrapText="1"/>
    </xf>
    <xf numFmtId="0" fontId="70" fillId="0" borderId="0" xfId="106" applyFont="1" applyAlignment="1">
      <alignment horizontal="left" vertical="center"/>
    </xf>
    <xf numFmtId="0" fontId="64" fillId="0" borderId="0" xfId="113" applyFont="1" applyAlignment="1">
      <alignment horizontal="left" vertical="center"/>
    </xf>
    <xf numFmtId="0" fontId="13" fillId="7" borderId="31" xfId="106" applyFont="1" applyFill="1" applyBorder="1" applyAlignment="1">
      <alignment horizontal="left" vertical="center" indent="1"/>
    </xf>
    <xf numFmtId="0" fontId="13" fillId="7" borderId="32" xfId="106" applyFont="1" applyFill="1" applyBorder="1" applyAlignment="1">
      <alignment vertical="center" wrapText="1"/>
    </xf>
    <xf numFmtId="0" fontId="13" fillId="7" borderId="33" xfId="106" applyFont="1" applyFill="1" applyBorder="1" applyAlignment="1">
      <alignment vertical="center" wrapText="1"/>
    </xf>
    <xf numFmtId="0" fontId="11" fillId="45" borderId="32" xfId="49" applyFill="1" applyBorder="1" applyAlignment="1">
      <alignment horizontal="center" vertical="center"/>
    </xf>
    <xf numFmtId="0" fontId="11" fillId="0" borderId="32" xfId="49" applyBorder="1" applyAlignment="1">
      <alignment horizontal="center" vertical="center"/>
    </xf>
    <xf numFmtId="0" fontId="11" fillId="0" borderId="32" xfId="106" applyFont="1" applyBorder="1" applyAlignment="1">
      <alignment horizontal="left" vertical="center" indent="1"/>
    </xf>
    <xf numFmtId="0" fontId="11" fillId="0" borderId="33" xfId="106" applyFont="1" applyBorder="1" applyAlignment="1">
      <alignment horizontal="left" vertical="center" indent="1"/>
    </xf>
    <xf numFmtId="169" fontId="11" fillId="43" borderId="30" xfId="106" applyNumberFormat="1" applyFont="1" applyFill="1" applyBorder="1" applyAlignment="1">
      <alignment vertical="center"/>
    </xf>
    <xf numFmtId="0" fontId="11" fillId="0" borderId="7" xfId="49" applyBorder="1" applyAlignment="1">
      <alignment horizontal="center" vertical="center" wrapText="1"/>
    </xf>
    <xf numFmtId="0" fontId="11" fillId="43" borderId="71" xfId="106" applyFont="1" applyFill="1" applyBorder="1" applyAlignment="1">
      <alignment vertical="center"/>
    </xf>
    <xf numFmtId="49" fontId="64" fillId="0" borderId="0" xfId="106" applyNumberFormat="1" applyFont="1" applyAlignment="1">
      <alignment vertical="center"/>
    </xf>
    <xf numFmtId="0" fontId="11" fillId="0" borderId="31" xfId="49" applyBorder="1" applyAlignment="1">
      <alignment horizontal="center" vertical="center" wrapText="1"/>
    </xf>
    <xf numFmtId="4" fontId="64" fillId="0" borderId="32" xfId="106" applyNumberFormat="1" applyFont="1" applyBorder="1" applyAlignment="1">
      <alignment horizontal="right" vertical="center"/>
    </xf>
    <xf numFmtId="4" fontId="11" fillId="0" borderId="32" xfId="106" applyNumberFormat="1" applyFont="1" applyBorder="1" applyAlignment="1">
      <alignment vertical="center"/>
    </xf>
    <xf numFmtId="4" fontId="11" fillId="0" borderId="33" xfId="106" applyNumberFormat="1" applyFont="1" applyBorder="1" applyAlignment="1">
      <alignment vertical="center"/>
    </xf>
    <xf numFmtId="0" fontId="64" fillId="0" borderId="29" xfId="107" applyFont="1" applyBorder="1"/>
    <xf numFmtId="169" fontId="64" fillId="0" borderId="43" xfId="106" applyNumberFormat="1" applyFont="1" applyBorder="1" applyAlignment="1">
      <alignment horizontal="right" vertical="center"/>
    </xf>
    <xf numFmtId="169" fontId="64" fillId="0" borderId="47" xfId="106" applyNumberFormat="1" applyFont="1" applyBorder="1" applyAlignment="1">
      <alignment horizontal="right" vertical="center"/>
    </xf>
    <xf numFmtId="0" fontId="70" fillId="0" borderId="29" xfId="106" applyFont="1" applyBorder="1" applyAlignment="1">
      <alignment vertical="center"/>
    </xf>
    <xf numFmtId="4" fontId="64" fillId="49" borderId="48" xfId="106" applyNumberFormat="1" applyFont="1" applyFill="1" applyBorder="1" applyAlignment="1">
      <alignment horizontal="right" vertical="center"/>
    </xf>
    <xf numFmtId="0" fontId="70" fillId="0" borderId="0" xfId="102" applyFont="1" applyAlignment="1">
      <alignment vertical="center"/>
    </xf>
    <xf numFmtId="49" fontId="64" fillId="0" borderId="0" xfId="107" applyNumberFormat="1" applyFont="1"/>
    <xf numFmtId="169" fontId="64" fillId="2" borderId="52" xfId="106" applyNumberFormat="1" applyFont="1" applyFill="1" applyBorder="1" applyAlignment="1" applyProtection="1">
      <alignment horizontal="right" vertical="center"/>
      <protection locked="0"/>
    </xf>
    <xf numFmtId="49" fontId="11" fillId="7" borderId="43" xfId="99" applyFill="1" applyBorder="1" applyAlignment="1">
      <alignment horizontal="left" vertical="center" wrapText="1" indent="1"/>
    </xf>
    <xf numFmtId="49" fontId="11" fillId="0" borderId="0" xfId="45">
      <alignment vertical="top"/>
    </xf>
    <xf numFmtId="0" fontId="101" fillId="0" borderId="0" xfId="97" applyFont="1" applyAlignment="1">
      <alignment vertical="center"/>
    </xf>
    <xf numFmtId="49" fontId="101" fillId="0" borderId="0" xfId="0" applyFont="1" applyBorder="1">
      <alignment vertical="top"/>
    </xf>
    <xf numFmtId="49" fontId="64" fillId="7" borderId="30" xfId="98" applyNumberFormat="1" applyFont="1" applyFill="1" applyBorder="1" applyAlignment="1">
      <alignment horizontal="left" vertical="center" wrapText="1" indent="1"/>
    </xf>
    <xf numFmtId="0" fontId="64" fillId="0" borderId="0" xfId="106" applyFont="1" applyAlignment="1">
      <alignment vertical="center"/>
    </xf>
    <xf numFmtId="49" fontId="11" fillId="0" borderId="0" xfId="98" applyNumberFormat="1" applyFont="1"/>
    <xf numFmtId="0" fontId="11" fillId="7" borderId="7" xfId="98" applyFont="1" applyFill="1" applyBorder="1" applyAlignment="1">
      <alignment horizontal="left" vertical="center" wrapText="1" indent="1"/>
    </xf>
    <xf numFmtId="49" fontId="11" fillId="7" borderId="7" xfId="98" applyNumberFormat="1" applyFont="1" applyFill="1" applyBorder="1" applyAlignment="1">
      <alignment horizontal="left" vertical="center" wrapText="1" indent="1"/>
    </xf>
    <xf numFmtId="49" fontId="64" fillId="0" borderId="0" xfId="98" applyNumberFormat="1" applyFont="1"/>
    <xf numFmtId="49" fontId="11" fillId="50" borderId="0" xfId="0" applyFont="1" applyFill="1" applyBorder="1">
      <alignment vertical="top"/>
    </xf>
    <xf numFmtId="0" fontId="64" fillId="0" borderId="0" xfId="102" applyFont="1" applyAlignment="1">
      <alignment horizontal="center" vertical="center"/>
    </xf>
    <xf numFmtId="49" fontId="11" fillId="0" borderId="0" xfId="0" applyFont="1" applyBorder="1" applyAlignment="1">
      <alignment horizontal="left" vertical="top"/>
    </xf>
    <xf numFmtId="49" fontId="64" fillId="0" borderId="0" xfId="102" applyNumberFormat="1" applyFont="1"/>
    <xf numFmtId="49" fontId="0" fillId="0" borderId="0" xfId="0" applyBorder="1">
      <alignment vertical="top"/>
    </xf>
    <xf numFmtId="0" fontId="1" fillId="0" borderId="0" xfId="112" applyFont="1"/>
    <xf numFmtId="49" fontId="98" fillId="2" borderId="30" xfId="31" applyNumberFormat="1" applyFont="1" applyFill="1" applyBorder="1" applyAlignment="1" applyProtection="1">
      <alignment horizontal="left" vertical="center" wrapText="1" indent="1"/>
      <protection locked="0"/>
    </xf>
    <xf numFmtId="14" fontId="64" fillId="11" borderId="30" xfId="98" applyNumberFormat="1" applyFont="1" applyFill="1" applyBorder="1" applyAlignment="1" applyProtection="1">
      <alignment horizontal="left" vertical="center" wrapText="1" indent="1"/>
      <protection locked="0"/>
    </xf>
    <xf numFmtId="0" fontId="13" fillId="0" borderId="30" xfId="97" applyNumberFormat="1" applyFont="1" applyBorder="1" applyAlignment="1">
      <alignment horizontal="right" vertical="center" wrapText="1" indent="1"/>
    </xf>
    <xf numFmtId="0" fontId="78" fillId="7" borderId="30" xfId="98" applyNumberFormat="1" applyFont="1" applyFill="1" applyBorder="1" applyAlignment="1" applyProtection="1">
      <alignment horizontal="left" vertical="center" wrapText="1" indent="1"/>
    </xf>
    <xf numFmtId="49" fontId="0" fillId="0" borderId="30" xfId="97" applyNumberFormat="1" applyFont="1" applyBorder="1" applyAlignment="1">
      <alignment horizontal="right" vertical="center" wrapText="1" indent="1"/>
    </xf>
    <xf numFmtId="49" fontId="64" fillId="7" borderId="30" xfId="98" applyNumberFormat="1" applyFont="1" applyFill="1" applyBorder="1" applyAlignment="1" applyProtection="1">
      <alignment horizontal="left" vertical="center" wrapText="1" indent="1"/>
    </xf>
    <xf numFmtId="0" fontId="64" fillId="11" borderId="30" xfId="98" applyNumberFormat="1" applyFont="1" applyFill="1" applyBorder="1" applyAlignment="1" applyProtection="1">
      <alignment horizontal="left" vertical="center" wrapText="1" indent="1"/>
      <protection locked="0"/>
    </xf>
    <xf numFmtId="0" fontId="0" fillId="0" borderId="30" xfId="97" applyNumberFormat="1" applyFont="1" applyBorder="1" applyAlignment="1">
      <alignment horizontal="right" vertical="center" wrapText="1" indent="1"/>
    </xf>
    <xf numFmtId="0" fontId="0" fillId="2" borderId="30" xfId="49" applyNumberFormat="1" applyFont="1" applyFill="1" applyBorder="1" applyAlignment="1" applyProtection="1">
      <alignment horizontal="left" vertical="center" wrapText="1" indent="1"/>
      <protection locked="0"/>
    </xf>
    <xf numFmtId="14" fontId="64" fillId="2" borderId="30" xfId="98" applyNumberFormat="1" applyFont="1" applyFill="1" applyBorder="1" applyAlignment="1" applyProtection="1">
      <alignment horizontal="left" vertical="center" wrapText="1" indent="1"/>
      <protection locked="0"/>
    </xf>
    <xf numFmtId="49" fontId="64" fillId="2" borderId="30" xfId="98" applyNumberFormat="1" applyFont="1" applyFill="1" applyBorder="1" applyAlignment="1" applyProtection="1">
      <alignment horizontal="left" vertical="center" wrapText="1" indent="1"/>
      <protection locked="0"/>
    </xf>
    <xf numFmtId="0" fontId="0" fillId="0" borderId="30" xfId="97" applyFont="1" applyBorder="1" applyAlignment="1">
      <alignment horizontal="right" vertical="center" wrapText="1" indent="1"/>
    </xf>
    <xf numFmtId="0" fontId="64" fillId="2" borderId="30" xfId="98" applyNumberFormat="1" applyFont="1" applyFill="1" applyBorder="1" applyAlignment="1" applyProtection="1">
      <alignment horizontal="left" vertical="center" wrapText="1" indent="1"/>
      <protection locked="0"/>
    </xf>
    <xf numFmtId="0" fontId="0" fillId="2" borderId="30" xfId="49" applyNumberFormat="1" applyFont="1" applyFill="1" applyBorder="1" applyAlignment="1" applyProtection="1">
      <alignment horizontal="left" vertical="center" indent="1"/>
      <protection locked="0"/>
    </xf>
    <xf numFmtId="49" fontId="0" fillId="0" borderId="0" xfId="0" applyFont="1" applyBorder="1">
      <alignment vertical="top"/>
    </xf>
    <xf numFmtId="49" fontId="0" fillId="2" borderId="30" xfId="49" applyNumberFormat="1" applyFont="1" applyFill="1" applyBorder="1" applyAlignment="1" applyProtection="1">
      <alignment horizontal="left" vertical="center" wrapText="1" indent="1"/>
      <protection locked="0"/>
    </xf>
    <xf numFmtId="49" fontId="0" fillId="11" borderId="30" xfId="99" applyFont="1" applyFill="1" applyBorder="1" applyAlignment="1" applyProtection="1">
      <alignment horizontal="left" vertical="center" wrapText="1" indent="1"/>
      <protection locked="0"/>
    </xf>
    <xf numFmtId="49" fontId="0" fillId="2" borderId="30" xfId="99" applyFont="1" applyFill="1" applyBorder="1" applyAlignment="1" applyProtection="1">
      <alignment horizontal="left" vertical="center" wrapText="1" indent="1"/>
      <protection locked="0"/>
    </xf>
    <xf numFmtId="49" fontId="0" fillId="11" borderId="30" xfId="97" applyNumberFormat="1" applyFont="1" applyFill="1" applyBorder="1" applyAlignment="1" applyProtection="1">
      <alignment horizontal="right" vertical="center" wrapText="1" indent="1"/>
      <protection locked="0"/>
    </xf>
    <xf numFmtId="49" fontId="0" fillId="11" borderId="30" xfId="49" applyNumberFormat="1" applyFont="1" applyFill="1" applyBorder="1" applyAlignment="1" applyProtection="1">
      <alignment horizontal="left" vertical="center" wrapText="1" indent="1"/>
      <protection locked="0"/>
    </xf>
    <xf numFmtId="0" fontId="64" fillId="0" borderId="0" xfId="106" applyFont="1" applyAlignment="1">
      <alignment vertical="center"/>
    </xf>
    <xf numFmtId="22" fontId="11" fillId="0" borderId="0" xfId="46" applyNumberFormat="1" applyFont="1" applyAlignment="1" applyProtection="1">
      <alignment horizontal="left" vertical="center" wrapText="1"/>
    </xf>
    <xf numFmtId="49" fontId="0" fillId="0" borderId="0" xfId="0" applyNumberFormat="1">
      <alignment vertical="top"/>
    </xf>
    <xf numFmtId="0" fontId="0" fillId="0" borderId="0" xfId="0" applyNumberFormat="1">
      <alignment vertical="top"/>
    </xf>
    <xf numFmtId="0" fontId="25" fillId="0" borderId="0" xfId="110" applyFont="1" applyFill="1" applyAlignment="1">
      <alignment horizontal="left" vertical="center" indent="1"/>
    </xf>
    <xf numFmtId="0" fontId="97" fillId="0" borderId="7" xfId="110" applyFont="1" applyFill="1" applyBorder="1" applyAlignment="1">
      <alignment horizontal="center" vertical="center"/>
    </xf>
    <xf numFmtId="0" fontId="25" fillId="0" borderId="7" xfId="110" applyFont="1" applyFill="1" applyBorder="1" applyAlignment="1">
      <alignment vertical="center"/>
    </xf>
    <xf numFmtId="0" fontId="25" fillId="0" borderId="7" xfId="110" applyFont="1" applyFill="1" applyBorder="1" applyAlignment="1">
      <alignment vertical="center" wrapText="1"/>
    </xf>
    <xf numFmtId="0" fontId="14" fillId="0" borderId="0" xfId="97" applyFont="1" applyFill="1" applyAlignment="1" applyProtection="1">
      <alignment vertical="center"/>
    </xf>
    <xf numFmtId="0" fontId="14" fillId="0" borderId="0" xfId="97" applyFont="1" applyFill="1" applyAlignment="1">
      <alignment vertical="center"/>
    </xf>
    <xf numFmtId="0" fontId="11" fillId="0" borderId="0" xfId="97" applyFont="1" applyFill="1" applyAlignment="1">
      <alignment vertical="center"/>
    </xf>
    <xf numFmtId="0" fontId="11" fillId="0" borderId="7" xfId="97" applyFont="1" applyFill="1" applyBorder="1" applyAlignment="1" applyProtection="1">
      <alignment horizontal="left" vertical="center" wrapText="1" indent="1"/>
    </xf>
    <xf numFmtId="0" fontId="101" fillId="0" borderId="0" xfId="97" applyFont="1" applyFill="1" applyAlignment="1">
      <alignment vertical="center"/>
    </xf>
    <xf numFmtId="0" fontId="11" fillId="0" borderId="7" xfId="97" applyNumberFormat="1" applyFont="1" applyFill="1" applyBorder="1" applyAlignment="1" applyProtection="1">
      <alignment horizontal="left" vertical="center" wrapText="1" indent="1"/>
      <protection locked="0"/>
    </xf>
    <xf numFmtId="0" fontId="101" fillId="0" borderId="0" xfId="97" applyFont="1" applyFill="1" applyAlignment="1">
      <alignment vertical="center" wrapText="1"/>
    </xf>
    <xf numFmtId="0" fontId="102" fillId="0" borderId="0" xfId="97" applyFont="1" applyFill="1" applyAlignment="1">
      <alignment vertical="center"/>
    </xf>
    <xf numFmtId="0" fontId="67" fillId="0" borderId="0" xfId="97" applyFont="1" applyFill="1" applyAlignment="1">
      <alignment vertical="center"/>
    </xf>
    <xf numFmtId="0" fontId="100" fillId="0" borderId="0" xfId="97" applyFont="1" applyFill="1" applyAlignment="1">
      <alignment vertical="center"/>
    </xf>
    <xf numFmtId="0" fontId="103" fillId="0" borderId="0" xfId="97" applyFont="1" applyFill="1" applyAlignment="1">
      <alignment vertical="center"/>
    </xf>
    <xf numFmtId="0" fontId="103" fillId="0" borderId="0" xfId="97" applyFont="1" applyFill="1" applyAlignment="1">
      <alignment horizontal="center" vertical="center"/>
    </xf>
    <xf numFmtId="0" fontId="67" fillId="0" borderId="0" xfId="97" applyFont="1" applyFill="1" applyAlignment="1">
      <alignment horizontal="center" vertical="center"/>
    </xf>
    <xf numFmtId="0" fontId="14" fillId="0" borderId="0" xfId="97" applyFont="1" applyFill="1" applyAlignment="1">
      <alignment horizontal="center" vertical="center"/>
    </xf>
    <xf numFmtId="0" fontId="100" fillId="0" borderId="0" xfId="97" applyFont="1" applyFill="1" applyAlignment="1">
      <alignment horizontal="left" vertical="center" wrapText="1"/>
    </xf>
    <xf numFmtId="0" fontId="14" fillId="0" borderId="0" xfId="97" applyFont="1" applyFill="1" applyAlignment="1">
      <alignment horizontal="left" vertical="center" wrapText="1"/>
    </xf>
    <xf numFmtId="0" fontId="14" fillId="0" borderId="0" xfId="97" applyFont="1" applyFill="1" applyAlignment="1">
      <alignment vertical="center" wrapText="1"/>
    </xf>
    <xf numFmtId="0" fontId="11" fillId="0" borderId="30" xfId="97" applyFont="1" applyFill="1" applyBorder="1" applyAlignment="1" applyProtection="1">
      <alignment horizontal="left" vertical="center" wrapText="1" indent="1"/>
    </xf>
    <xf numFmtId="0" fontId="104" fillId="0" borderId="0" xfId="97" applyFont="1" applyFill="1" applyAlignment="1">
      <alignment vertical="center" wrapText="1"/>
    </xf>
    <xf numFmtId="0" fontId="11" fillId="0" borderId="30" xfId="97" applyFont="1" applyFill="1" applyBorder="1" applyAlignment="1" applyProtection="1">
      <alignment horizontal="left" vertical="center" wrapText="1" indent="1"/>
      <protection locked="0"/>
    </xf>
    <xf numFmtId="0" fontId="100" fillId="0" borderId="0" xfId="97" applyFont="1" applyFill="1" applyAlignment="1">
      <alignment vertical="center" wrapText="1"/>
    </xf>
    <xf numFmtId="49" fontId="11" fillId="0" borderId="30" xfId="97" applyNumberFormat="1" applyFont="1" applyFill="1" applyBorder="1" applyAlignment="1" applyProtection="1">
      <alignment horizontal="left" vertical="center" wrapText="1" indent="1"/>
    </xf>
    <xf numFmtId="49" fontId="11" fillId="0" borderId="30" xfId="97" applyNumberFormat="1" applyFont="1" applyFill="1" applyBorder="1" applyAlignment="1">
      <alignment horizontal="left" vertical="center" wrapText="1" indent="1"/>
    </xf>
    <xf numFmtId="49" fontId="11" fillId="0" borderId="30" xfId="97" applyNumberFormat="1" applyFont="1" applyFill="1" applyBorder="1" applyAlignment="1" applyProtection="1">
      <alignment horizontal="left" vertical="center" wrapText="1" indent="1"/>
      <protection locked="0"/>
    </xf>
    <xf numFmtId="0" fontId="11" fillId="0" borderId="30" xfId="97" applyNumberFormat="1" applyFont="1" applyFill="1" applyBorder="1" applyAlignment="1" applyProtection="1">
      <alignment horizontal="left" vertical="center" wrapText="1" indent="1"/>
      <protection locked="0"/>
    </xf>
    <xf numFmtId="0" fontId="98" fillId="0" borderId="30" xfId="31" applyFont="1" applyFill="1" applyBorder="1" applyAlignment="1" applyProtection="1">
      <alignment horizontal="left" vertical="center" wrapText="1" indent="1"/>
      <protection locked="0"/>
    </xf>
    <xf numFmtId="0" fontId="11" fillId="0" borderId="30" xfId="97" applyFont="1" applyFill="1" applyBorder="1" applyAlignment="1">
      <alignment horizontal="right" vertical="center" wrapText="1" indent="1"/>
    </xf>
    <xf numFmtId="49" fontId="64" fillId="0" borderId="30" xfId="98" applyNumberFormat="1" applyFont="1" applyFill="1" applyBorder="1" applyAlignment="1" applyProtection="1">
      <alignment horizontal="left" vertical="center" wrapText="1" indent="1"/>
      <protection locked="0"/>
    </xf>
    <xf numFmtId="49" fontId="64" fillId="0" borderId="30" xfId="98" applyNumberFormat="1" applyFont="1" applyFill="1" applyBorder="1" applyAlignment="1" applyProtection="1">
      <alignment horizontal="left" vertical="center" wrapText="1" indent="1"/>
    </xf>
    <xf numFmtId="0" fontId="104" fillId="0" borderId="0" xfId="97" applyFont="1" applyFill="1" applyAlignment="1">
      <alignment vertical="center"/>
    </xf>
    <xf numFmtId="49" fontId="98" fillId="0" borderId="30" xfId="31" applyNumberFormat="1" applyFont="1" applyFill="1" applyBorder="1" applyAlignment="1" applyProtection="1">
      <alignment horizontal="left" vertical="center" wrapText="1" indent="1"/>
    </xf>
    <xf numFmtId="49" fontId="11" fillId="0" borderId="30" xfId="49" applyNumberFormat="1" applyFont="1" applyFill="1" applyBorder="1" applyAlignment="1" applyProtection="1">
      <alignment horizontal="left" vertical="center" wrapText="1" indent="1"/>
    </xf>
    <xf numFmtId="49" fontId="11" fillId="0" borderId="30" xfId="99" applyFont="1" applyFill="1" applyBorder="1" applyAlignment="1" applyProtection="1">
      <alignment horizontal="left" vertical="center" wrapText="1" indent="1"/>
    </xf>
    <xf numFmtId="14" fontId="64" fillId="0" borderId="30" xfId="98" applyNumberFormat="1" applyFont="1" applyFill="1" applyBorder="1" applyAlignment="1" applyProtection="1">
      <alignment horizontal="left" vertical="center" wrapText="1" indent="1"/>
    </xf>
    <xf numFmtId="0" fontId="69" fillId="0" borderId="0" xfId="97" applyFont="1" applyFill="1" applyAlignment="1">
      <alignment vertical="center"/>
    </xf>
    <xf numFmtId="49" fontId="11" fillId="0" borderId="30" xfId="49" applyNumberFormat="1" applyFont="1" applyFill="1" applyBorder="1" applyAlignment="1" applyProtection="1">
      <alignment horizontal="left" vertical="center" wrapText="1" indent="1"/>
      <protection locked="0"/>
    </xf>
    <xf numFmtId="0" fontId="11" fillId="0" borderId="0" xfId="97" applyFont="1" applyFill="1" applyAlignment="1" applyProtection="1">
      <alignment vertical="center"/>
    </xf>
    <xf numFmtId="0" fontId="73" fillId="0" borderId="0" xfId="97" applyFont="1" applyFill="1" applyAlignment="1">
      <alignment vertical="center"/>
    </xf>
    <xf numFmtId="0" fontId="11" fillId="0" borderId="0" xfId="97" applyFont="1" applyFill="1" applyAlignment="1">
      <alignment horizontal="left" vertical="center" wrapText="1"/>
    </xf>
    <xf numFmtId="0" fontId="11" fillId="0" borderId="0" xfId="97" applyFont="1" applyFill="1" applyAlignment="1">
      <alignment horizontal="center" vertical="center" wrapText="1"/>
    </xf>
    <xf numFmtId="0" fontId="105" fillId="0" borderId="0" xfId="97" applyFont="1" applyFill="1" applyAlignment="1">
      <alignment vertical="center"/>
    </xf>
    <xf numFmtId="0" fontId="106" fillId="0" borderId="0" xfId="97" applyFont="1" applyFill="1" applyAlignment="1">
      <alignment vertical="center"/>
    </xf>
    <xf numFmtId="0" fontId="0" fillId="0" borderId="0" xfId="97" applyFont="1" applyFill="1" applyAlignment="1">
      <alignment vertical="center"/>
    </xf>
    <xf numFmtId="49" fontId="11" fillId="0" borderId="33" xfId="97" applyNumberFormat="1" applyFont="1" applyFill="1" applyBorder="1" applyAlignment="1">
      <alignment horizontal="right" vertical="center" wrapText="1" indent="1"/>
    </xf>
    <xf numFmtId="0" fontId="64" fillId="0" borderId="30" xfId="98" applyFont="1" applyFill="1" applyBorder="1" applyAlignment="1" applyProtection="1">
      <alignment horizontal="left" vertical="center" wrapText="1" indent="1"/>
    </xf>
    <xf numFmtId="49" fontId="11" fillId="0" borderId="30" xfId="99" applyFont="1" applyFill="1" applyBorder="1" applyAlignment="1" applyProtection="1">
      <alignment horizontal="left" vertical="center" wrapText="1" indent="1"/>
      <protection locked="0"/>
    </xf>
    <xf numFmtId="49" fontId="0" fillId="0" borderId="30" xfId="49" applyNumberFormat="1" applyFont="1" applyFill="1" applyBorder="1" applyAlignment="1" applyProtection="1">
      <alignment horizontal="left" vertical="center" wrapText="1" indent="1"/>
      <protection locked="0"/>
    </xf>
    <xf numFmtId="14" fontId="64" fillId="0" borderId="30" xfId="98" applyNumberFormat="1" applyFont="1" applyFill="1" applyBorder="1" applyAlignment="1" applyProtection="1">
      <alignment horizontal="left" vertical="center" wrapText="1" indent="1"/>
      <protection locked="0"/>
    </xf>
    <xf numFmtId="49" fontId="14" fillId="0" borderId="0" xfId="97" applyNumberFormat="1" applyFont="1" applyFill="1" applyBorder="1" applyAlignment="1">
      <alignment horizontal="center" vertical="center"/>
    </xf>
    <xf numFmtId="0" fontId="13" fillId="0" borderId="33" xfId="97" applyFont="1" applyFill="1" applyBorder="1" applyAlignment="1">
      <alignment horizontal="right" vertical="center" wrapText="1" indent="1"/>
    </xf>
    <xf numFmtId="0" fontId="78" fillId="0" borderId="30" xfId="98" applyFont="1" applyFill="1" applyBorder="1" applyAlignment="1">
      <alignment horizontal="left" vertical="center" wrapText="1" indent="1"/>
    </xf>
    <xf numFmtId="49" fontId="14" fillId="0" borderId="0" xfId="97" applyNumberFormat="1" applyFont="1" applyFill="1" applyAlignment="1">
      <alignment vertical="center"/>
    </xf>
    <xf numFmtId="0" fontId="13" fillId="0" borderId="30" xfId="97" applyNumberFormat="1" applyFont="1" applyFill="1" applyBorder="1" applyAlignment="1">
      <alignment horizontal="right" vertical="center" wrapText="1" indent="1"/>
    </xf>
    <xf numFmtId="0" fontId="78" fillId="0" borderId="30" xfId="98" applyNumberFormat="1" applyFont="1" applyFill="1" applyBorder="1" applyAlignment="1" applyProtection="1">
      <alignment horizontal="left" vertical="center" wrapText="1" indent="1"/>
    </xf>
    <xf numFmtId="49" fontId="89" fillId="0" borderId="0" xfId="0" applyFont="1" applyFill="1" applyAlignment="1">
      <alignment horizontal="center" vertical="center" wrapText="1"/>
    </xf>
    <xf numFmtId="49" fontId="0" fillId="0" borderId="30" xfId="97" applyNumberFormat="1" applyFont="1" applyFill="1" applyBorder="1" applyAlignment="1">
      <alignment horizontal="right" vertical="center" wrapText="1" indent="1"/>
    </xf>
    <xf numFmtId="0" fontId="64" fillId="0" borderId="30" xfId="98" applyNumberFormat="1" applyFont="1" applyFill="1" applyBorder="1" applyAlignment="1" applyProtection="1">
      <alignment horizontal="left" vertical="center" wrapText="1" indent="1"/>
    </xf>
    <xf numFmtId="0" fontId="64" fillId="0" borderId="30" xfId="98" applyNumberFormat="1" applyFont="1" applyFill="1" applyBorder="1" applyAlignment="1" applyProtection="1">
      <alignment horizontal="left" vertical="center" wrapText="1" indent="1"/>
      <protection locked="0"/>
    </xf>
    <xf numFmtId="0" fontId="0" fillId="0" borderId="30" xfId="97" applyNumberFormat="1" applyFont="1" applyFill="1" applyBorder="1" applyAlignment="1">
      <alignment horizontal="right" vertical="center" wrapText="1" indent="1"/>
    </xf>
    <xf numFmtId="49" fontId="64" fillId="0" borderId="30" xfId="98" applyNumberFormat="1" applyFont="1" applyFill="1" applyBorder="1" applyAlignment="1">
      <alignment horizontal="left" vertical="center" wrapText="1" indent="1"/>
    </xf>
    <xf numFmtId="0" fontId="0" fillId="0" borderId="30" xfId="49" applyNumberFormat="1" applyFont="1" applyFill="1" applyBorder="1" applyAlignment="1" applyProtection="1">
      <alignment horizontal="left" vertical="center" wrapText="1" indent="1"/>
      <protection locked="0"/>
    </xf>
    <xf numFmtId="0" fontId="0" fillId="0" borderId="30" xfId="97" applyFont="1" applyFill="1" applyBorder="1" applyAlignment="1">
      <alignment horizontal="right" vertical="center" wrapText="1" indent="1"/>
    </xf>
    <xf numFmtId="0" fontId="0" fillId="0" borderId="30" xfId="49" applyNumberFormat="1" applyFont="1" applyFill="1" applyBorder="1" applyAlignment="1" applyProtection="1">
      <alignment horizontal="left" vertical="center" indent="1"/>
      <protection locked="0"/>
    </xf>
    <xf numFmtId="49" fontId="11" fillId="0" borderId="30" xfId="97" applyNumberFormat="1" applyFont="1" applyFill="1" applyBorder="1" applyAlignment="1">
      <alignment horizontal="right" vertical="center" wrapText="1" indent="1"/>
    </xf>
    <xf numFmtId="0" fontId="11" fillId="0" borderId="30" xfId="97" applyFont="1" applyFill="1" applyBorder="1" applyAlignment="1" applyProtection="1">
      <alignment horizontal="left" vertical="center" indent="1"/>
    </xf>
    <xf numFmtId="49" fontId="30" fillId="0" borderId="0" xfId="99" applyFont="1" applyFill="1" applyAlignment="1">
      <alignment vertical="center" wrapText="1"/>
    </xf>
    <xf numFmtId="49" fontId="11" fillId="0" borderId="0" xfId="99" applyFill="1" applyAlignment="1">
      <alignment vertical="center" wrapText="1"/>
    </xf>
    <xf numFmtId="49" fontId="11" fillId="0" borderId="0" xfId="99" applyFill="1">
      <alignment vertical="top"/>
    </xf>
    <xf numFmtId="49" fontId="25" fillId="0" borderId="0" xfId="99" applyFont="1" applyFill="1" applyBorder="1" applyAlignment="1">
      <alignment horizontal="right" vertical="center" wrapText="1"/>
    </xf>
    <xf numFmtId="0" fontId="11" fillId="0" borderId="0" xfId="99" applyNumberFormat="1" applyFill="1" applyBorder="1" applyAlignment="1">
      <alignment horizontal="left" vertical="center"/>
    </xf>
    <xf numFmtId="49" fontId="13" fillId="0" borderId="0" xfId="99" applyFont="1" applyFill="1" applyBorder="1" applyAlignment="1">
      <alignment vertical="center" wrapText="1"/>
    </xf>
    <xf numFmtId="49" fontId="11" fillId="0" borderId="0" xfId="99" applyFill="1" applyBorder="1" applyAlignment="1">
      <alignment horizontal="left" vertical="center" wrapText="1"/>
    </xf>
    <xf numFmtId="49" fontId="0" fillId="0" borderId="0" xfId="99" applyFont="1" applyFill="1" applyAlignment="1">
      <alignment vertical="center" wrapText="1"/>
    </xf>
    <xf numFmtId="0" fontId="11" fillId="0" borderId="39" xfId="99" applyNumberFormat="1" applyFill="1" applyBorder="1" applyAlignment="1">
      <alignment horizontal="center" vertical="center" wrapText="1"/>
    </xf>
    <xf numFmtId="0" fontId="11" fillId="0" borderId="40" xfId="99" applyNumberFormat="1" applyFill="1" applyBorder="1" applyAlignment="1">
      <alignment horizontal="center" vertical="center" wrapText="1"/>
    </xf>
    <xf numFmtId="0" fontId="11" fillId="0" borderId="72" xfId="99" applyNumberFormat="1" applyFill="1" applyBorder="1" applyAlignment="1">
      <alignment horizontal="center" vertical="center" wrapText="1"/>
    </xf>
    <xf numFmtId="0" fontId="11" fillId="0" borderId="41" xfId="99" applyNumberFormat="1" applyFill="1" applyBorder="1" applyAlignment="1">
      <alignment horizontal="center" vertical="center" wrapText="1"/>
    </xf>
    <xf numFmtId="49" fontId="11" fillId="0" borderId="0" xfId="99" applyNumberFormat="1" applyFill="1" applyAlignment="1">
      <alignment vertical="center"/>
    </xf>
    <xf numFmtId="49" fontId="107" fillId="0" borderId="0" xfId="99" applyFont="1" applyFill="1" applyBorder="1" applyAlignment="1">
      <alignment vertical="center" wrapText="1"/>
    </xf>
    <xf numFmtId="0" fontId="0" fillId="0" borderId="57"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11" fillId="0" borderId="0" xfId="99" applyNumberFormat="1" applyFill="1" applyAlignment="1">
      <alignment vertical="center"/>
    </xf>
    <xf numFmtId="49" fontId="29" fillId="0" borderId="0" xfId="99" applyFont="1" applyFill="1" applyBorder="1" applyAlignment="1">
      <alignment horizontal="center" vertical="top" wrapText="1"/>
    </xf>
    <xf numFmtId="49" fontId="74" fillId="0" borderId="0" xfId="99" applyFont="1" applyFill="1" applyBorder="1" applyAlignment="1">
      <alignment horizontal="center" vertical="top" wrapText="1"/>
    </xf>
    <xf numFmtId="49" fontId="11" fillId="0" borderId="42" xfId="99" applyFill="1" applyBorder="1" applyAlignment="1">
      <alignment horizontal="center" vertical="center" wrapText="1"/>
    </xf>
    <xf numFmtId="49" fontId="11" fillId="0" borderId="43" xfId="99" applyFill="1" applyBorder="1" applyAlignment="1" applyProtection="1">
      <alignment horizontal="left" vertical="center" wrapText="1" indent="1"/>
      <protection locked="0"/>
    </xf>
    <xf numFmtId="49" fontId="11" fillId="0" borderId="43" xfId="99" applyFill="1" applyBorder="1" applyAlignment="1">
      <alignment horizontal="left" vertical="center" wrapText="1" indent="1"/>
    </xf>
    <xf numFmtId="49" fontId="11" fillId="0" borderId="44" xfId="99" applyFill="1" applyBorder="1" applyAlignment="1" applyProtection="1">
      <alignment horizontal="left" vertical="center" wrapText="1" indent="1"/>
      <protection locked="0"/>
    </xf>
    <xf numFmtId="49" fontId="11" fillId="0" borderId="0" xfId="99" applyFill="1" applyAlignment="1">
      <alignment horizontal="left" vertical="center" wrapText="1"/>
    </xf>
    <xf numFmtId="0" fontId="11" fillId="0" borderId="0" xfId="99" applyNumberFormat="1" applyFill="1" applyAlignment="1">
      <alignment vertical="center" wrapText="1"/>
    </xf>
    <xf numFmtId="49" fontId="11" fillId="0" borderId="0" xfId="99" applyFill="1" applyBorder="1" applyAlignment="1">
      <alignment horizontal="right" vertical="center" wrapText="1"/>
    </xf>
    <xf numFmtId="0" fontId="0" fillId="0" borderId="0" xfId="99" applyNumberFormat="1" applyFont="1" applyFill="1" applyBorder="1" applyAlignment="1">
      <alignment horizontal="left" vertical="center"/>
    </xf>
    <xf numFmtId="0" fontId="0" fillId="0" borderId="0" xfId="99" applyNumberFormat="1" applyFont="1" applyFill="1" applyAlignment="1">
      <alignment horizontal="left" vertical="center"/>
    </xf>
    <xf numFmtId="49" fontId="11" fillId="0" borderId="0" xfId="99" applyFill="1" applyBorder="1" applyAlignment="1">
      <alignment vertical="center" wrapText="1"/>
    </xf>
    <xf numFmtId="0" fontId="11" fillId="0" borderId="0" xfId="99" applyNumberFormat="1" applyFont="1" applyFill="1" applyBorder="1" applyAlignment="1">
      <alignment horizontal="left" vertical="center"/>
    </xf>
    <xf numFmtId="49" fontId="13" fillId="0" borderId="0" xfId="99" applyFont="1" applyFill="1" applyBorder="1" applyAlignment="1">
      <alignment horizontal="center" vertical="center" wrapText="1" shrinkToFit="1"/>
    </xf>
    <xf numFmtId="0" fontId="11" fillId="0" borderId="45" xfId="101" applyNumberFormat="1" applyFont="1" applyFill="1" applyBorder="1" applyAlignment="1">
      <alignment horizontal="center" vertical="center" wrapText="1"/>
    </xf>
    <xf numFmtId="0" fontId="64" fillId="0" borderId="30" xfId="98" applyFont="1" applyFill="1" applyBorder="1" applyAlignment="1">
      <alignment horizontal="center" vertical="center" wrapText="1"/>
    </xf>
    <xf numFmtId="0" fontId="64" fillId="0" borderId="0" xfId="98" applyFont="1" applyFill="1"/>
    <xf numFmtId="49" fontId="64" fillId="0" borderId="0" xfId="98" applyNumberFormat="1" applyFont="1" applyFill="1" applyAlignment="1"/>
    <xf numFmtId="0" fontId="0" fillId="0" borderId="6" xfId="0" applyNumberFormat="1" applyFont="1" applyFill="1" applyBorder="1" applyAlignment="1">
      <alignment horizontal="left" vertical="center"/>
    </xf>
    <xf numFmtId="0" fontId="64" fillId="0" borderId="7" xfId="98" applyFont="1" applyFill="1" applyBorder="1" applyAlignment="1">
      <alignment horizontal="center" vertical="center"/>
    </xf>
    <xf numFmtId="49" fontId="11" fillId="0" borderId="33" xfId="98" applyNumberFormat="1" applyFont="1" applyFill="1" applyBorder="1" applyAlignment="1">
      <alignment vertical="center" wrapText="1"/>
    </xf>
    <xf numFmtId="49" fontId="11" fillId="0" borderId="30" xfId="49" applyNumberFormat="1" applyFill="1" applyBorder="1" applyAlignment="1">
      <alignment horizontal="center" vertical="center"/>
    </xf>
    <xf numFmtId="3" fontId="11" fillId="0" borderId="30" xfId="49" applyNumberFormat="1" applyFill="1" applyBorder="1" applyAlignment="1" applyProtection="1">
      <alignment horizontal="right" vertical="center"/>
      <protection locked="0"/>
    </xf>
    <xf numFmtId="3" fontId="11" fillId="0" borderId="30" xfId="98" applyNumberFormat="1" applyFont="1" applyFill="1" applyBorder="1" applyAlignment="1" applyProtection="1">
      <alignment horizontal="right" vertical="center"/>
      <protection locked="0"/>
    </xf>
    <xf numFmtId="49" fontId="11" fillId="0" borderId="7" xfId="98" applyNumberFormat="1" applyFont="1" applyFill="1" applyBorder="1" applyAlignment="1" applyProtection="1">
      <alignment horizontal="left" vertical="center" wrapText="1"/>
      <protection locked="0"/>
    </xf>
    <xf numFmtId="4" fontId="11" fillId="0" borderId="30" xfId="49" applyNumberFormat="1" applyFill="1" applyBorder="1" applyAlignment="1" applyProtection="1">
      <alignment horizontal="right" vertical="center"/>
      <protection locked="0"/>
    </xf>
    <xf numFmtId="49" fontId="64" fillId="0" borderId="0" xfId="98" applyNumberFormat="1" applyFont="1" applyFill="1"/>
    <xf numFmtId="0" fontId="13" fillId="0" borderId="6" xfId="98" quotePrefix="1" applyFont="1" applyFill="1" applyBorder="1" applyAlignment="1">
      <alignment horizontal="left" vertical="center" indent="1"/>
    </xf>
    <xf numFmtId="0" fontId="13" fillId="0" borderId="6" xfId="98" applyFont="1" applyFill="1" applyBorder="1" applyAlignment="1">
      <alignment horizontal="left" vertical="center" wrapText="1" indent="1"/>
    </xf>
    <xf numFmtId="0" fontId="13" fillId="0" borderId="0" xfId="98" applyFont="1" applyFill="1" applyBorder="1" applyAlignment="1">
      <alignment horizontal="left" vertical="center" wrapText="1" indent="1"/>
    </xf>
    <xf numFmtId="0" fontId="13" fillId="0" borderId="6" xfId="98" quotePrefix="1" applyFont="1" applyFill="1" applyBorder="1" applyAlignment="1">
      <alignment horizontal="left" vertical="center" wrapText="1" indent="1"/>
    </xf>
    <xf numFmtId="0" fontId="0" fillId="0" borderId="6" xfId="98" applyFont="1" applyFill="1" applyBorder="1" applyAlignment="1">
      <alignment horizontal="left" vertical="center" wrapText="1" indent="1"/>
    </xf>
    <xf numFmtId="0" fontId="11" fillId="0" borderId="58" xfId="98" applyFont="1" applyFill="1" applyBorder="1" applyAlignment="1">
      <alignment horizontal="center" vertical="center" wrapText="1"/>
    </xf>
    <xf numFmtId="0" fontId="11" fillId="0" borderId="7" xfId="98" applyFont="1" applyFill="1" applyBorder="1" applyAlignment="1">
      <alignment horizontal="center" vertical="center" wrapText="1"/>
    </xf>
    <xf numFmtId="0" fontId="11" fillId="0" borderId="0" xfId="98" applyFont="1" applyFill="1"/>
    <xf numFmtId="49" fontId="11" fillId="0" borderId="0" xfId="98" applyNumberFormat="1" applyFont="1" applyFill="1"/>
    <xf numFmtId="0" fontId="11" fillId="0" borderId="7" xfId="98" applyFont="1" applyFill="1" applyBorder="1" applyAlignment="1">
      <alignment horizontal="center" vertical="center"/>
    </xf>
    <xf numFmtId="0" fontId="11" fillId="0" borderId="7" xfId="98" applyFont="1" applyFill="1" applyBorder="1" applyAlignment="1">
      <alignment horizontal="left" vertical="center" wrapText="1"/>
    </xf>
    <xf numFmtId="0" fontId="11" fillId="0" borderId="7" xfId="98" applyFont="1" applyFill="1" applyBorder="1" applyAlignment="1">
      <alignment horizontal="left" vertical="center" wrapText="1" indent="1"/>
    </xf>
    <xf numFmtId="49" fontId="11" fillId="0" borderId="7" xfId="98" applyNumberFormat="1" applyFont="1" applyFill="1" applyBorder="1" applyAlignment="1">
      <alignment horizontal="left" vertical="center" wrapText="1" indent="1"/>
    </xf>
    <xf numFmtId="0" fontId="77" fillId="0" borderId="0" xfId="98" applyFont="1" applyFill="1"/>
    <xf numFmtId="0" fontId="64" fillId="0" borderId="0" xfId="97" applyFont="1" applyFill="1"/>
    <xf numFmtId="0" fontId="11" fillId="0" borderId="0" xfId="97" applyFont="1" applyFill="1"/>
    <xf numFmtId="0" fontId="64" fillId="0" borderId="0" xfId="97" applyFont="1" applyFill="1" applyAlignment="1">
      <alignment wrapText="1"/>
    </xf>
    <xf numFmtId="0" fontId="64" fillId="0" borderId="0" xfId="103" applyFont="1" applyFill="1"/>
    <xf numFmtId="0" fontId="15" fillId="0" borderId="0" xfId="102" applyFont="1" applyFill="1"/>
    <xf numFmtId="0" fontId="11" fillId="0" borderId="0" xfId="102" applyFont="1" applyFill="1"/>
    <xf numFmtId="0" fontId="11" fillId="0" borderId="0" xfId="102" applyNumberFormat="1" applyFont="1" applyFill="1" applyAlignment="1">
      <alignment horizontal="left" vertical="center"/>
    </xf>
    <xf numFmtId="0" fontId="15" fillId="0" borderId="0" xfId="49" applyFont="1" applyFill="1">
      <alignment horizontal="left" vertical="center"/>
    </xf>
    <xf numFmtId="0" fontId="64" fillId="0" borderId="0" xfId="103" applyFont="1" applyFill="1" applyAlignment="1">
      <alignment horizontal="center" vertical="center"/>
    </xf>
    <xf numFmtId="0" fontId="64" fillId="0" borderId="0" xfId="103" applyFont="1" applyFill="1" applyAlignment="1">
      <alignment horizontal="center"/>
    </xf>
    <xf numFmtId="0" fontId="15" fillId="0" borderId="0" xfId="102" applyFont="1" applyFill="1" applyAlignment="1">
      <alignment horizontal="center"/>
    </xf>
    <xf numFmtId="0" fontId="11" fillId="0" borderId="0" xfId="102" applyFont="1" applyFill="1" applyAlignment="1">
      <alignment horizontal="center"/>
    </xf>
    <xf numFmtId="0" fontId="11" fillId="0" borderId="0" xfId="102" applyFont="1" applyFill="1" applyAlignment="1">
      <alignment horizontal="center" wrapText="1"/>
    </xf>
    <xf numFmtId="0" fontId="15" fillId="0" borderId="0" xfId="49" applyFont="1" applyFill="1" applyAlignment="1">
      <alignment horizontal="center" vertical="center"/>
    </xf>
    <xf numFmtId="0" fontId="73" fillId="0" borderId="0" xfId="102" applyFont="1" applyFill="1" applyAlignment="1">
      <alignment vertical="center" wrapText="1"/>
    </xf>
    <xf numFmtId="0" fontId="11" fillId="0" borderId="30" xfId="97" applyFont="1" applyFill="1" applyBorder="1" applyAlignment="1">
      <alignment horizontal="center" vertical="center" wrapText="1"/>
    </xf>
    <xf numFmtId="0" fontId="64" fillId="0" borderId="30" xfId="102" applyFont="1" applyFill="1" applyBorder="1" applyAlignment="1">
      <alignment horizontal="center" vertical="center" wrapText="1"/>
    </xf>
    <xf numFmtId="0" fontId="64" fillId="0" borderId="7" xfId="102" applyFont="1" applyFill="1" applyBorder="1" applyAlignment="1">
      <alignment horizontal="center" vertical="center" wrapText="1"/>
    </xf>
    <xf numFmtId="0" fontId="11" fillId="0" borderId="30" xfId="102" applyFont="1" applyFill="1" applyBorder="1" applyAlignment="1">
      <alignment horizontal="center" vertical="center" wrapText="1"/>
    </xf>
    <xf numFmtId="0" fontId="15" fillId="0" borderId="30" xfId="97" applyFont="1" applyFill="1" applyBorder="1" applyAlignment="1">
      <alignment horizontal="center" vertical="center" wrapText="1"/>
    </xf>
    <xf numFmtId="0" fontId="64" fillId="0" borderId="0" xfId="102" applyFont="1" applyFill="1" applyAlignment="1">
      <alignment vertical="center" wrapText="1"/>
    </xf>
    <xf numFmtId="49" fontId="0" fillId="0" borderId="6" xfId="0" applyNumberFormat="1" applyFont="1" applyFill="1" applyBorder="1" applyAlignment="1">
      <alignment horizontal="left" vertical="center" wrapText="1"/>
    </xf>
    <xf numFmtId="49" fontId="64" fillId="0" borderId="0" xfId="97" applyNumberFormat="1" applyFont="1" applyFill="1" applyAlignment="1"/>
    <xf numFmtId="49" fontId="71" fillId="0" borderId="31" xfId="99" applyFont="1" applyFill="1" applyBorder="1" applyAlignment="1">
      <alignment horizontal="left" vertical="center" indent="1"/>
    </xf>
    <xf numFmtId="49" fontId="11" fillId="0" borderId="32" xfId="99" applyFont="1" applyFill="1" applyBorder="1" applyAlignment="1">
      <alignment horizontal="left" vertical="center" indent="1"/>
    </xf>
    <xf numFmtId="49" fontId="71" fillId="0" borderId="32" xfId="99" applyFont="1" applyFill="1" applyBorder="1" applyAlignment="1">
      <alignment horizontal="left" vertical="center" indent="1"/>
    </xf>
    <xf numFmtId="0" fontId="95" fillId="0" borderId="32" xfId="99" applyNumberFormat="1" applyFont="1" applyFill="1" applyBorder="1" applyAlignment="1">
      <alignment horizontal="left" vertical="center" indent="1"/>
    </xf>
    <xf numFmtId="0" fontId="11" fillId="0" borderId="30" xfId="97" applyFont="1" applyFill="1" applyBorder="1" applyAlignment="1">
      <alignment horizontal="center" vertical="center"/>
    </xf>
    <xf numFmtId="0" fontId="64" fillId="0" borderId="30" xfId="97" applyFont="1" applyFill="1" applyBorder="1" applyAlignment="1">
      <alignment horizontal="left" vertical="center" wrapText="1"/>
    </xf>
    <xf numFmtId="0" fontId="64" fillId="0" borderId="30" xfId="97" applyFont="1" applyFill="1" applyBorder="1" applyAlignment="1">
      <alignment horizontal="center" vertical="center"/>
    </xf>
    <xf numFmtId="169" fontId="64" fillId="0" borderId="30" xfId="97" applyNumberFormat="1" applyFont="1" applyFill="1" applyBorder="1" applyAlignment="1" applyProtection="1">
      <alignment horizontal="right" vertical="center"/>
      <protection locked="0"/>
    </xf>
    <xf numFmtId="49" fontId="64" fillId="0" borderId="30" xfId="97" applyNumberFormat="1" applyFont="1" applyFill="1" applyBorder="1" applyAlignment="1" applyProtection="1">
      <alignment horizontal="left" vertical="center" wrapText="1"/>
      <protection locked="0"/>
    </xf>
    <xf numFmtId="0" fontId="64" fillId="0" borderId="30" xfId="97" applyFont="1" applyFill="1" applyBorder="1" applyAlignment="1">
      <alignment horizontal="justify" vertical="center" wrapText="1"/>
    </xf>
    <xf numFmtId="169" fontId="15" fillId="0" borderId="30" xfId="104" applyNumberFormat="1" applyFont="1" applyFill="1" applyBorder="1" applyAlignment="1" applyProtection="1">
      <alignment horizontal="right" vertical="center"/>
      <protection locked="0"/>
    </xf>
    <xf numFmtId="169" fontId="11" fillId="0" borderId="30" xfId="104" applyNumberFormat="1" applyFont="1" applyFill="1" applyBorder="1" applyAlignment="1" applyProtection="1">
      <alignment horizontal="right" vertical="center"/>
      <protection locked="0"/>
    </xf>
    <xf numFmtId="169" fontId="71" fillId="0" borderId="32" xfId="99" applyNumberFormat="1" applyFont="1" applyFill="1" applyBorder="1" applyAlignment="1">
      <alignment horizontal="left" vertical="center" indent="1"/>
    </xf>
    <xf numFmtId="49" fontId="71" fillId="0" borderId="32" xfId="99" applyNumberFormat="1" applyFont="1" applyFill="1" applyBorder="1" applyAlignment="1">
      <alignment horizontal="left" vertical="center" indent="1"/>
    </xf>
    <xf numFmtId="172" fontId="71" fillId="0" borderId="32" xfId="99" applyNumberFormat="1" applyFont="1" applyFill="1" applyBorder="1" applyAlignment="1">
      <alignment horizontal="left" vertical="center" indent="1"/>
    </xf>
    <xf numFmtId="169" fontId="71" fillId="0" borderId="33" xfId="99" applyNumberFormat="1" applyFont="1" applyFill="1" applyBorder="1" applyAlignment="1">
      <alignment horizontal="left" vertical="center" indent="1"/>
    </xf>
    <xf numFmtId="0" fontId="64" fillId="0" borderId="30" xfId="97" applyFont="1" applyFill="1" applyBorder="1" applyAlignment="1">
      <alignment horizontal="center" vertical="center" wrapText="1"/>
    </xf>
    <xf numFmtId="49" fontId="11" fillId="0" borderId="30" xfId="97" applyNumberFormat="1" applyFont="1" applyFill="1" applyBorder="1" applyAlignment="1">
      <alignment horizontal="center" vertical="center"/>
    </xf>
    <xf numFmtId="0" fontId="11" fillId="0" borderId="30" xfId="97" applyFont="1" applyFill="1" applyBorder="1" applyAlignment="1">
      <alignment horizontal="left" vertical="center" wrapText="1" indent="1"/>
    </xf>
    <xf numFmtId="0" fontId="11" fillId="0" borderId="30" xfId="97" applyFont="1" applyFill="1" applyBorder="1" applyAlignment="1">
      <alignment horizontal="justify" vertical="center" wrapText="1"/>
    </xf>
    <xf numFmtId="0" fontId="64" fillId="0" borderId="0" xfId="102" applyFont="1" applyFill="1"/>
    <xf numFmtId="49" fontId="11" fillId="0" borderId="30" xfId="102" applyNumberFormat="1" applyFont="1" applyFill="1" applyBorder="1" applyAlignment="1">
      <alignment horizontal="center" vertical="center"/>
    </xf>
    <xf numFmtId="0" fontId="11" fillId="0" borderId="30" xfId="97" applyFont="1" applyFill="1" applyBorder="1" applyAlignment="1">
      <alignment horizontal="left" vertical="center" wrapText="1"/>
    </xf>
    <xf numFmtId="169" fontId="11" fillId="0" borderId="30" xfId="102" applyNumberFormat="1" applyFont="1" applyFill="1" applyBorder="1" applyAlignment="1" applyProtection="1">
      <alignment horizontal="right" vertical="center"/>
      <protection locked="0"/>
    </xf>
    <xf numFmtId="49" fontId="11" fillId="0" borderId="30" xfId="102" applyNumberFormat="1" applyFont="1" applyFill="1" applyBorder="1" applyAlignment="1" applyProtection="1">
      <alignment horizontal="left" vertical="center" wrapText="1"/>
      <protection locked="0"/>
    </xf>
    <xf numFmtId="49" fontId="88" fillId="0" borderId="54" xfId="0" applyFont="1" applyFill="1" applyBorder="1" applyAlignment="1">
      <alignment horizontal="left" vertical="center" wrapText="1" indent="1"/>
    </xf>
    <xf numFmtId="49" fontId="88" fillId="0" borderId="55" xfId="0" applyFont="1" applyFill="1" applyBorder="1" applyAlignment="1">
      <alignment vertical="center" wrapText="1"/>
    </xf>
    <xf numFmtId="0" fontId="64" fillId="0" borderId="0" xfId="102" applyFont="1" applyFill="1" applyAlignment="1">
      <alignment vertical="center"/>
    </xf>
    <xf numFmtId="0" fontId="64" fillId="0" borderId="34" xfId="102" applyFont="1" applyFill="1" applyBorder="1" applyAlignment="1">
      <alignment horizontal="center" vertical="center" wrapText="1"/>
    </xf>
    <xf numFmtId="0" fontId="64" fillId="0" borderId="45" xfId="102" applyFont="1" applyFill="1" applyBorder="1" applyAlignment="1">
      <alignment horizontal="center" vertical="center" wrapText="1"/>
    </xf>
    <xf numFmtId="0" fontId="64" fillId="0" borderId="31" xfId="102" applyFont="1" applyFill="1" applyBorder="1" applyAlignment="1">
      <alignment horizontal="center" vertical="center" wrapText="1"/>
    </xf>
    <xf numFmtId="0" fontId="11" fillId="0" borderId="0" xfId="97" applyFont="1" applyFill="1" applyAlignment="1">
      <alignment horizontal="right" vertical="center" wrapText="1" indent="1"/>
    </xf>
    <xf numFmtId="4" fontId="11" fillId="0" borderId="0" xfId="102" applyNumberFormat="1" applyFont="1" applyFill="1" applyAlignment="1" applyProtection="1">
      <alignment horizontal="right" vertical="center"/>
    </xf>
    <xf numFmtId="0" fontId="64" fillId="0" borderId="0" xfId="102" applyFont="1" applyFill="1" applyAlignment="1" applyProtection="1">
      <alignment vertical="center" wrapText="1"/>
    </xf>
    <xf numFmtId="49" fontId="64" fillId="0" borderId="0" xfId="102" applyNumberFormat="1" applyFont="1" applyFill="1" applyAlignment="1">
      <alignment vertical="center"/>
    </xf>
    <xf numFmtId="169" fontId="0" fillId="0" borderId="6" xfId="0" applyNumberFormat="1" applyFont="1" applyFill="1" applyBorder="1" applyAlignment="1">
      <alignment horizontal="left" vertical="center"/>
    </xf>
    <xf numFmtId="49" fontId="64" fillId="0" borderId="7" xfId="111" applyNumberFormat="1" applyFont="1" applyFill="1" applyBorder="1" applyAlignment="1">
      <alignment horizontal="center" vertical="center"/>
    </xf>
    <xf numFmtId="0" fontId="64" fillId="0" borderId="7" xfId="111" applyFont="1" applyFill="1" applyBorder="1" applyAlignment="1">
      <alignment vertical="center" wrapText="1"/>
    </xf>
    <xf numFmtId="0" fontId="64" fillId="0" borderId="30" xfId="102" applyFont="1" applyFill="1" applyBorder="1" applyAlignment="1">
      <alignment horizontal="right" vertical="center" wrapText="1" indent="1"/>
    </xf>
    <xf numFmtId="0" fontId="64" fillId="0" borderId="31" xfId="102" applyFont="1" applyFill="1" applyBorder="1" applyAlignment="1">
      <alignment horizontal="left" vertical="center" indent="1"/>
    </xf>
    <xf numFmtId="0" fontId="64" fillId="0" borderId="32" xfId="102" applyFont="1" applyFill="1" applyBorder="1" applyAlignment="1">
      <alignment horizontal="left" vertical="center" indent="1"/>
    </xf>
    <xf numFmtId="0" fontId="64" fillId="0" borderId="33" xfId="102" applyFont="1" applyFill="1" applyBorder="1" applyAlignment="1">
      <alignment horizontal="left" vertical="center" indent="1"/>
    </xf>
    <xf numFmtId="49" fontId="64" fillId="0" borderId="30" xfId="102" applyNumberFormat="1" applyFont="1" applyFill="1" applyBorder="1" applyAlignment="1" applyProtection="1">
      <alignment horizontal="left" vertical="center" wrapText="1"/>
      <protection locked="0"/>
    </xf>
    <xf numFmtId="0" fontId="64" fillId="0" borderId="7" xfId="111" applyFont="1" applyFill="1" applyBorder="1" applyAlignment="1">
      <alignment vertical="center"/>
    </xf>
    <xf numFmtId="169" fontId="64" fillId="0" borderId="30" xfId="102" applyNumberFormat="1" applyFont="1" applyFill="1" applyBorder="1" applyAlignment="1" applyProtection="1">
      <alignment horizontal="right" vertical="center"/>
      <protection locked="0"/>
    </xf>
    <xf numFmtId="0" fontId="11" fillId="0" borderId="7" xfId="97" applyFont="1" applyFill="1" applyBorder="1" applyAlignment="1">
      <alignment vertical="center" wrapText="1"/>
    </xf>
    <xf numFmtId="169" fontId="64" fillId="0" borderId="30" xfId="102" applyNumberFormat="1" applyFont="1" applyFill="1" applyBorder="1" applyAlignment="1">
      <alignment horizontal="right" vertical="center"/>
    </xf>
    <xf numFmtId="0" fontId="11" fillId="0" borderId="7" xfId="97" applyFont="1" applyFill="1" applyBorder="1" applyAlignment="1">
      <alignment horizontal="left" vertical="center" wrapText="1" indent="1"/>
    </xf>
    <xf numFmtId="0" fontId="64" fillId="0" borderId="7" xfId="111" applyFont="1" applyFill="1" applyBorder="1" applyAlignment="1">
      <alignment horizontal="left" vertical="center" indent="1"/>
    </xf>
    <xf numFmtId="0" fontId="64" fillId="0" borderId="7" xfId="111" applyFont="1" applyFill="1" applyBorder="1" applyAlignment="1">
      <alignment horizontal="left" vertical="center" indent="2"/>
    </xf>
    <xf numFmtId="0" fontId="64" fillId="0" borderId="7" xfId="111" applyFont="1" applyFill="1" applyBorder="1" applyAlignment="1">
      <alignment horizontal="left" vertical="center" wrapText="1" indent="1"/>
    </xf>
    <xf numFmtId="49" fontId="64" fillId="0" borderId="0" xfId="102" applyNumberFormat="1" applyFont="1" applyFill="1" applyAlignment="1">
      <alignment horizontal="left" vertical="center"/>
    </xf>
    <xf numFmtId="0" fontId="64" fillId="0" borderId="0" xfId="102" applyFont="1" applyFill="1" applyAlignment="1">
      <alignment horizontal="center" vertical="center" wrapText="1"/>
    </xf>
    <xf numFmtId="49" fontId="11" fillId="0" borderId="30" xfId="102" applyNumberFormat="1" applyFont="1" applyFill="1" applyBorder="1" applyAlignment="1">
      <alignment horizontal="center" vertical="center" wrapText="1"/>
    </xf>
    <xf numFmtId="4" fontId="11" fillId="0" borderId="30" xfId="102" applyNumberFormat="1" applyFont="1" applyFill="1" applyBorder="1" applyAlignment="1">
      <alignment horizontal="right" vertical="center"/>
    </xf>
    <xf numFmtId="0" fontId="64" fillId="0" borderId="0" xfId="102" applyFont="1" applyFill="1" applyAlignment="1">
      <alignment horizontal="left" vertical="center"/>
    </xf>
    <xf numFmtId="0" fontId="64" fillId="0" borderId="0" xfId="102" applyFont="1" applyFill="1" applyAlignment="1">
      <alignment horizontal="center" vertical="center"/>
    </xf>
    <xf numFmtId="4" fontId="64" fillId="0" borderId="7" xfId="106" applyNumberFormat="1" applyFont="1" applyFill="1" applyBorder="1" applyAlignment="1" applyProtection="1">
      <alignment horizontal="right" vertical="center"/>
      <protection locked="0"/>
    </xf>
    <xf numFmtId="169" fontId="11" fillId="0" borderId="30" xfId="102" applyNumberFormat="1" applyFont="1" applyFill="1" applyBorder="1" applyAlignment="1" applyProtection="1">
      <alignment horizontal="right" vertical="center"/>
    </xf>
    <xf numFmtId="49" fontId="11" fillId="0" borderId="0" xfId="102" applyNumberFormat="1" applyFont="1" applyFill="1" applyBorder="1" applyAlignment="1">
      <alignment horizontal="center" vertical="center" wrapText="1"/>
    </xf>
    <xf numFmtId="49" fontId="95" fillId="0" borderId="5" xfId="102" applyNumberFormat="1" applyFont="1" applyFill="1" applyBorder="1" applyAlignment="1">
      <alignment horizontal="center" vertical="center" wrapText="1"/>
    </xf>
    <xf numFmtId="0" fontId="11" fillId="0" borderId="0" xfId="102" applyFont="1" applyFill="1" applyBorder="1" applyAlignment="1" applyProtection="1">
      <alignment horizontal="left" vertical="center" wrapText="1"/>
    </xf>
    <xf numFmtId="0" fontId="64" fillId="0" borderId="0" xfId="102" applyFont="1" applyFill="1" applyBorder="1" applyAlignment="1">
      <alignment horizontal="center" vertical="center" wrapText="1"/>
    </xf>
    <xf numFmtId="4" fontId="11" fillId="0" borderId="0" xfId="102" applyNumberFormat="1" applyFont="1" applyFill="1" applyBorder="1" applyAlignment="1" applyProtection="1">
      <alignment horizontal="right" vertical="center"/>
    </xf>
    <xf numFmtId="49" fontId="11" fillId="0" borderId="8" xfId="102" applyNumberFormat="1" applyFont="1" applyFill="1" applyBorder="1" applyAlignment="1" applyProtection="1">
      <alignment horizontal="left" vertical="center"/>
    </xf>
    <xf numFmtId="0" fontId="11" fillId="0" borderId="0" xfId="99" applyNumberFormat="1" applyFont="1" applyFill="1" applyAlignment="1">
      <alignment vertical="center"/>
    </xf>
    <xf numFmtId="0" fontId="11" fillId="0" borderId="30" xfId="102" applyNumberFormat="1" applyFont="1" applyFill="1" applyBorder="1" applyAlignment="1" applyProtection="1">
      <alignment horizontal="left" vertical="center" wrapText="1"/>
      <protection locked="0"/>
    </xf>
    <xf numFmtId="4" fontId="11" fillId="0" borderId="30" xfId="102" applyNumberFormat="1" applyFont="1" applyFill="1" applyBorder="1" applyAlignment="1" applyProtection="1">
      <alignment horizontal="right" vertical="center"/>
      <protection locked="0"/>
    </xf>
    <xf numFmtId="0" fontId="11" fillId="0" borderId="30" xfId="102" applyNumberFormat="1" applyFont="1" applyFill="1" applyBorder="1" applyAlignment="1">
      <alignment horizontal="center" vertical="center" wrapText="1"/>
    </xf>
    <xf numFmtId="0" fontId="11" fillId="0" borderId="0" xfId="105" applyFont="1" applyFill="1"/>
    <xf numFmtId="0" fontId="11" fillId="0" borderId="0" xfId="105" applyFont="1" applyFill="1" applyAlignment="1">
      <alignment horizontal="center"/>
    </xf>
    <xf numFmtId="0" fontId="11" fillId="0" borderId="0" xfId="105" applyFont="1" applyFill="1" applyAlignment="1">
      <alignment horizontal="left"/>
    </xf>
    <xf numFmtId="0" fontId="11" fillId="0" borderId="0" xfId="105" applyNumberFormat="1" applyFont="1" applyFill="1" applyAlignment="1">
      <alignment horizontal="left" vertical="center"/>
    </xf>
    <xf numFmtId="0" fontId="11" fillId="0" borderId="0" xfId="105" applyFont="1" applyFill="1" applyBorder="1"/>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3" fillId="0" borderId="0" xfId="105" applyFont="1" applyFill="1"/>
    <xf numFmtId="0" fontId="13" fillId="0" borderId="7" xfId="105" applyFont="1" applyFill="1" applyBorder="1" applyAlignment="1">
      <alignment horizontal="center" vertical="center"/>
    </xf>
    <xf numFmtId="4" fontId="13" fillId="0" borderId="7" xfId="105" applyNumberFormat="1" applyFont="1" applyFill="1" applyBorder="1" applyAlignment="1">
      <alignment horizontal="right" vertical="center"/>
    </xf>
    <xf numFmtId="0" fontId="11" fillId="0" borderId="7" xfId="105" applyFont="1" applyFill="1" applyBorder="1" applyAlignment="1">
      <alignment horizontal="center" vertical="center"/>
    </xf>
    <xf numFmtId="4" fontId="11" fillId="0" borderId="7" xfId="105" applyNumberFormat="1" applyFont="1" applyFill="1" applyBorder="1" applyAlignment="1" applyProtection="1">
      <alignment horizontal="right" vertical="center"/>
      <protection locked="0"/>
    </xf>
    <xf numFmtId="0" fontId="11" fillId="0" borderId="0" xfId="105" applyFont="1" applyFill="1" applyAlignment="1">
      <alignment horizontal="center" vertical="center"/>
    </xf>
    <xf numFmtId="0" fontId="11" fillId="0" borderId="0" xfId="105" applyFont="1" applyFill="1" applyAlignment="1">
      <alignment vertical="center" wrapText="1"/>
    </xf>
    <xf numFmtId="4" fontId="11" fillId="0" borderId="0" xfId="105" applyNumberFormat="1" applyFont="1" applyFill="1" applyAlignment="1">
      <alignment horizontal="center" vertical="center"/>
    </xf>
    <xf numFmtId="0" fontId="80" fillId="0" borderId="0" xfId="105" applyFont="1" applyFill="1"/>
    <xf numFmtId="0" fontId="81" fillId="0" borderId="0" xfId="105" applyFont="1" applyFill="1"/>
    <xf numFmtId="0" fontId="64" fillId="0" borderId="0" xfId="102" applyFont="1" applyFill="1" applyProtection="1">
      <protection hidden="1"/>
    </xf>
    <xf numFmtId="0" fontId="64" fillId="0" borderId="0" xfId="102" applyFont="1" applyFill="1" applyAlignment="1" applyProtection="1">
      <alignment horizontal="left"/>
      <protection hidden="1"/>
    </xf>
    <xf numFmtId="0" fontId="64" fillId="0" borderId="0" xfId="102" applyFont="1" applyFill="1" applyAlignment="1" applyProtection="1">
      <alignment horizontal="center"/>
      <protection hidden="1"/>
    </xf>
    <xf numFmtId="0" fontId="11" fillId="0" borderId="0" xfId="102" applyNumberFormat="1" applyFont="1" applyFill="1" applyAlignment="1" applyProtection="1">
      <alignment horizontal="left" vertical="center"/>
      <protection hidden="1"/>
    </xf>
    <xf numFmtId="171" fontId="21" fillId="0" borderId="0" xfId="101" applyNumberFormat="1" applyFont="1" applyFill="1" applyAlignment="1">
      <alignment horizontal="left" vertical="center" wrapText="1"/>
    </xf>
    <xf numFmtId="0" fontId="64" fillId="0" borderId="0" xfId="102" applyFont="1" applyFill="1" applyAlignment="1">
      <alignment horizontal="center"/>
    </xf>
    <xf numFmtId="49" fontId="13" fillId="0" borderId="7" xfId="102" applyNumberFormat="1" applyFont="1" applyFill="1" applyBorder="1" applyAlignment="1">
      <alignment horizontal="center" vertical="center"/>
    </xf>
    <xf numFmtId="0" fontId="13" fillId="0" borderId="30" xfId="102" applyFont="1" applyFill="1" applyBorder="1" applyAlignment="1">
      <alignment horizontal="center" vertical="center" wrapText="1"/>
    </xf>
    <xf numFmtId="4" fontId="11" fillId="0" borderId="7" xfId="102" applyNumberFormat="1" applyFont="1" applyFill="1" applyBorder="1" applyAlignment="1" applyProtection="1">
      <alignment horizontal="right" vertical="center"/>
    </xf>
    <xf numFmtId="49" fontId="11" fillId="0" borderId="7" xfId="102" applyNumberFormat="1" applyFont="1" applyFill="1" applyBorder="1" applyAlignment="1">
      <alignment horizontal="center" vertical="center"/>
    </xf>
    <xf numFmtId="4" fontId="11" fillId="0" borderId="7" xfId="102" applyNumberFormat="1" applyFont="1" applyFill="1" applyBorder="1" applyAlignment="1" applyProtection="1">
      <alignment horizontal="right" vertical="center"/>
      <protection locked="0"/>
    </xf>
    <xf numFmtId="0" fontId="11" fillId="0" borderId="7" xfId="102" applyFont="1" applyFill="1" applyBorder="1" applyAlignment="1">
      <alignment horizontal="left" vertical="center" wrapText="1" indent="2"/>
    </xf>
    <xf numFmtId="0" fontId="64" fillId="0" borderId="7" xfId="97" applyFont="1" applyFill="1" applyBorder="1" applyAlignment="1">
      <alignment horizontal="left" indent="1"/>
    </xf>
    <xf numFmtId="0" fontId="11" fillId="0" borderId="7" xfId="102" applyFont="1" applyFill="1" applyBorder="1" applyAlignment="1">
      <alignment horizontal="left" vertical="center" wrapText="1" indent="1"/>
    </xf>
    <xf numFmtId="0" fontId="14" fillId="0" borderId="0" xfId="105" applyFont="1" applyFill="1"/>
    <xf numFmtId="0" fontId="67" fillId="0" borderId="0" xfId="105" applyFont="1" applyFill="1"/>
    <xf numFmtId="0" fontId="67" fillId="0" borderId="0" xfId="105" applyFont="1" applyFill="1" applyAlignment="1">
      <alignment horizontal="left"/>
    </xf>
    <xf numFmtId="0" fontId="14" fillId="0" borderId="0" xfId="105" applyFont="1" applyFill="1" applyAlignment="1">
      <alignment horizontal="left"/>
    </xf>
    <xf numFmtId="4" fontId="13"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3" fillId="0" borderId="7" xfId="105" applyFont="1" applyFill="1" applyBorder="1" applyAlignment="1">
      <alignment vertical="center" wrapText="1"/>
    </xf>
    <xf numFmtId="4" fontId="13" fillId="0" borderId="7" xfId="105" applyNumberFormat="1" applyFont="1" applyFill="1" applyBorder="1" applyAlignment="1" applyProtection="1">
      <alignment horizontal="right" vertical="center"/>
      <protection locked="0"/>
    </xf>
    <xf numFmtId="49" fontId="14" fillId="0" borderId="0" xfId="105" applyNumberFormat="1" applyFont="1" applyFill="1"/>
    <xf numFmtId="0" fontId="70" fillId="0" borderId="0" xfId="105" applyFont="1" applyFill="1" applyAlignment="1">
      <alignment horizontal="left" vertical="center" wrapText="1" indent="1"/>
    </xf>
    <xf numFmtId="0" fontId="70" fillId="0" borderId="0" xfId="105" applyFont="1" applyFill="1" applyAlignment="1">
      <alignment horizontal="left" vertical="center" wrapText="1" indent="2"/>
    </xf>
    <xf numFmtId="0" fontId="13" fillId="0" borderId="7" xfId="102" applyFont="1" applyFill="1" applyBorder="1" applyAlignment="1">
      <alignment horizontal="center" vertical="center" wrapText="1"/>
    </xf>
    <xf numFmtId="0" fontId="13" fillId="0" borderId="7" xfId="102" applyFont="1" applyFill="1" applyBorder="1" applyAlignment="1">
      <alignment horizontal="left" vertical="center" wrapText="1"/>
    </xf>
    <xf numFmtId="4" fontId="78" fillId="0" borderId="7" xfId="102" applyNumberFormat="1" applyFont="1" applyFill="1" applyBorder="1" applyAlignment="1">
      <alignment horizontal="right" vertical="center" wrapText="1"/>
    </xf>
    <xf numFmtId="0" fontId="11" fillId="0" borderId="7" xfId="102" applyFont="1" applyFill="1" applyBorder="1" applyAlignment="1">
      <alignment horizontal="left" vertical="center" wrapText="1"/>
    </xf>
    <xf numFmtId="4" fontId="11" fillId="0" borderId="7" xfId="104" applyNumberFormat="1" applyFont="1" applyFill="1" applyBorder="1" applyAlignment="1" applyProtection="1">
      <alignment horizontal="right" vertical="center" wrapText="1"/>
      <protection locked="0"/>
    </xf>
    <xf numFmtId="4" fontId="64" fillId="0" borderId="7" xfId="102" applyNumberFormat="1" applyFont="1" applyFill="1" applyBorder="1" applyAlignment="1" applyProtection="1">
      <alignment horizontal="right" vertical="center" wrapText="1"/>
      <protection locked="0"/>
    </xf>
    <xf numFmtId="0" fontId="64" fillId="0" borderId="7" xfId="102" applyFont="1" applyFill="1" applyBorder="1" applyAlignment="1" applyProtection="1">
      <alignment horizontal="center"/>
      <protection hidden="1"/>
    </xf>
    <xf numFmtId="4" fontId="64" fillId="0" borderId="7" xfId="102" applyNumberFormat="1" applyFont="1" applyFill="1" applyBorder="1" applyAlignment="1" applyProtection="1">
      <alignment horizontal="right"/>
      <protection locked="0"/>
    </xf>
    <xf numFmtId="4" fontId="64" fillId="0" borderId="7" xfId="102" applyNumberFormat="1" applyFont="1" applyFill="1" applyBorder="1" applyAlignment="1" applyProtection="1">
      <alignment horizontal="right"/>
    </xf>
    <xf numFmtId="0" fontId="64" fillId="0" borderId="0" xfId="107" applyFont="1" applyFill="1"/>
    <xf numFmtId="0" fontId="64" fillId="0" borderId="0" xfId="106" applyFont="1" applyFill="1"/>
    <xf numFmtId="0" fontId="11" fillId="0" borderId="0" xfId="106" applyNumberFormat="1" applyFont="1" applyFill="1" applyAlignment="1">
      <alignment horizontal="left" vertical="center"/>
    </xf>
    <xf numFmtId="0" fontId="70" fillId="0" borderId="30" xfId="98" applyFont="1" applyFill="1" applyBorder="1" applyAlignment="1" applyProtection="1">
      <alignment horizontal="left" vertical="center" wrapText="1" indent="1"/>
      <protection locked="0"/>
    </xf>
    <xf numFmtId="0" fontId="64" fillId="0" borderId="7" xfId="107" applyFont="1" applyFill="1" applyBorder="1" applyAlignment="1">
      <alignment horizontal="center" vertical="center" wrapText="1"/>
    </xf>
    <xf numFmtId="0" fontId="64" fillId="0" borderId="59" xfId="107" applyFont="1" applyFill="1" applyBorder="1" applyAlignment="1">
      <alignment horizontal="center" vertical="center" wrapText="1"/>
    </xf>
    <xf numFmtId="0" fontId="64" fillId="0" borderId="0" xfId="107" applyFont="1" applyFill="1" applyAlignment="1">
      <alignment horizontal="center" vertical="center" wrapText="1"/>
    </xf>
    <xf numFmtId="0" fontId="64" fillId="0" borderId="7" xfId="106" applyFont="1" applyFill="1" applyBorder="1" applyAlignment="1">
      <alignment horizontal="center" vertical="center" wrapText="1"/>
    </xf>
    <xf numFmtId="0" fontId="64" fillId="0" borderId="5" xfId="106" applyFont="1" applyFill="1" applyBorder="1" applyAlignment="1">
      <alignment horizontal="center" vertical="center" wrapText="1"/>
    </xf>
    <xf numFmtId="0" fontId="64" fillId="0" borderId="0" xfId="102" applyFont="1" applyFill="1" applyAlignment="1">
      <alignment horizontal="left" vertical="center" wrapText="1"/>
    </xf>
    <xf numFmtId="0" fontId="78" fillId="0" borderId="0" xfId="107" applyFont="1" applyFill="1"/>
    <xf numFmtId="4" fontId="78" fillId="0" borderId="7" xfId="107" applyNumberFormat="1" applyFont="1" applyFill="1" applyBorder="1" applyAlignment="1">
      <alignment horizontal="right" vertical="center"/>
    </xf>
    <xf numFmtId="4" fontId="64" fillId="0" borderId="7" xfId="107" applyNumberFormat="1" applyFont="1" applyFill="1" applyBorder="1" applyAlignment="1">
      <alignment horizontal="right" vertical="center"/>
    </xf>
    <xf numFmtId="4" fontId="64" fillId="0" borderId="7" xfId="107" applyNumberFormat="1" applyFont="1" applyFill="1" applyBorder="1" applyAlignment="1" applyProtection="1">
      <alignment horizontal="right" vertical="center"/>
      <protection locked="0"/>
    </xf>
    <xf numFmtId="0" fontId="0" fillId="0" borderId="15"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64" fillId="0" borderId="0" xfId="107" applyFont="1" applyFill="1" applyAlignment="1">
      <alignment vertical="center"/>
    </xf>
    <xf numFmtId="49" fontId="75" fillId="0" borderId="0" xfId="99" applyFont="1" applyFill="1" applyBorder="1" applyAlignment="1">
      <alignment horizontal="left" vertical="center" wrapText="1"/>
    </xf>
    <xf numFmtId="0" fontId="82" fillId="0" borderId="0" xfId="107" applyFont="1" applyFill="1" applyAlignment="1">
      <alignment horizontal="left" vertical="top" wrapText="1"/>
    </xf>
    <xf numFmtId="0" fontId="11" fillId="0" borderId="0" xfId="107" applyNumberFormat="1" applyFont="1" applyFill="1" applyAlignment="1">
      <alignment horizontal="left" vertical="center"/>
    </xf>
    <xf numFmtId="49" fontId="13" fillId="0" borderId="7" xfId="107" applyNumberFormat="1" applyFont="1" applyFill="1" applyBorder="1" applyAlignment="1">
      <alignment horizontal="center" vertical="center" wrapText="1"/>
    </xf>
    <xf numFmtId="4" fontId="78" fillId="0" borderId="7" xfId="107" applyNumberFormat="1" applyFont="1" applyFill="1" applyBorder="1" applyAlignment="1">
      <alignment horizontal="right" vertical="center" wrapText="1"/>
    </xf>
    <xf numFmtId="4" fontId="21" fillId="0" borderId="7" xfId="107" applyNumberFormat="1" applyFont="1" applyFill="1" applyBorder="1" applyAlignment="1">
      <alignment horizontal="right" vertical="center" wrapText="1"/>
    </xf>
    <xf numFmtId="49" fontId="11" fillId="0" borderId="7" xfId="107" applyNumberFormat="1" applyFont="1" applyFill="1" applyBorder="1" applyAlignment="1">
      <alignment horizontal="center" vertical="center" wrapText="1"/>
    </xf>
    <xf numFmtId="4" fontId="64" fillId="0" borderId="7" xfId="107" applyNumberFormat="1" applyFont="1" applyFill="1" applyBorder="1" applyAlignment="1" applyProtection="1">
      <alignment horizontal="right" vertical="center" wrapText="1"/>
      <protection locked="0"/>
    </xf>
    <xf numFmtId="4" fontId="15" fillId="0" borderId="7" xfId="107" applyNumberFormat="1" applyFont="1" applyFill="1" applyBorder="1" applyAlignment="1" applyProtection="1">
      <alignment horizontal="right" vertical="center" wrapText="1"/>
      <protection locked="0"/>
    </xf>
    <xf numFmtId="169" fontId="64" fillId="0" borderId="7" xfId="107" applyNumberFormat="1" applyFont="1" applyFill="1" applyBorder="1" applyAlignment="1" applyProtection="1">
      <alignment horizontal="right" vertical="center" wrapText="1"/>
    </xf>
    <xf numFmtId="0" fontId="15" fillId="0" borderId="7" xfId="107" applyFont="1" applyFill="1" applyBorder="1" applyAlignment="1">
      <alignment horizontal="center" vertical="center" wrapText="1"/>
    </xf>
    <xf numFmtId="169" fontId="64" fillId="0" borderId="7" xfId="107" applyNumberFormat="1" applyFont="1" applyFill="1" applyBorder="1" applyAlignment="1" applyProtection="1">
      <alignment horizontal="right" vertical="center" wrapText="1"/>
      <protection locked="0"/>
    </xf>
    <xf numFmtId="169" fontId="15" fillId="0" borderId="7" xfId="107" applyNumberFormat="1" applyFont="1" applyFill="1" applyBorder="1" applyAlignment="1" applyProtection="1">
      <alignment horizontal="right" vertical="center" wrapText="1"/>
      <protection locked="0"/>
    </xf>
    <xf numFmtId="49" fontId="73" fillId="0" borderId="0" xfId="99" applyFont="1" applyFill="1" applyAlignment="1">
      <alignment vertical="center"/>
    </xf>
    <xf numFmtId="4" fontId="0" fillId="0" borderId="11" xfId="0" applyNumberFormat="1" applyFont="1" applyFill="1" applyBorder="1" applyAlignment="1">
      <alignment horizontal="right" vertical="center"/>
    </xf>
    <xf numFmtId="49" fontId="11" fillId="0" borderId="7" xfId="107" applyNumberFormat="1" applyFont="1" applyFill="1" applyBorder="1" applyAlignment="1">
      <alignment horizontal="left" vertical="center" wrapText="1"/>
    </xf>
    <xf numFmtId="4" fontId="6" fillId="0" borderId="7" xfId="106" applyNumberFormat="1" applyFill="1" applyBorder="1" applyAlignment="1" applyProtection="1">
      <alignment horizontal="right" vertical="center" wrapText="1"/>
      <protection locked="0"/>
    </xf>
    <xf numFmtId="0" fontId="82" fillId="0" borderId="0" xfId="107" applyFont="1" applyFill="1" applyAlignment="1">
      <alignment horizontal="left" vertical="center" wrapText="1"/>
    </xf>
    <xf numFmtId="0" fontId="11" fillId="0" borderId="7" xfId="106" applyFont="1" applyFill="1" applyBorder="1" applyAlignment="1">
      <alignment horizontal="center" vertical="center" wrapText="1"/>
    </xf>
    <xf numFmtId="0" fontId="11" fillId="0" borderId="7" xfId="107" applyFont="1" applyFill="1" applyBorder="1" applyAlignment="1">
      <alignment horizontal="center" vertical="center" wrapText="1"/>
    </xf>
    <xf numFmtId="0" fontId="64" fillId="0" borderId="0" xfId="106" applyFont="1" applyFill="1" applyAlignment="1">
      <alignment vertical="center"/>
    </xf>
    <xf numFmtId="49" fontId="0" fillId="0" borderId="0" xfId="0" applyFill="1">
      <alignment vertical="top"/>
    </xf>
    <xf numFmtId="0" fontId="0" fillId="0" borderId="7" xfId="0" applyNumberFormat="1" applyFont="1" applyFill="1" applyBorder="1" applyAlignment="1">
      <alignment horizontal="left" vertical="center"/>
    </xf>
    <xf numFmtId="0" fontId="78" fillId="0" borderId="7" xfId="107" applyFont="1" applyFill="1" applyBorder="1" applyAlignment="1">
      <alignment horizontal="center" vertical="center"/>
    </xf>
    <xf numFmtId="0" fontId="78" fillId="0" borderId="7" xfId="107" applyFont="1" applyFill="1" applyBorder="1" applyAlignment="1">
      <alignment horizontal="left" vertical="center" wrapText="1"/>
    </xf>
    <xf numFmtId="0" fontId="78" fillId="0" borderId="7" xfId="107" applyFont="1" applyFill="1" applyBorder="1" applyAlignment="1">
      <alignment horizontal="center" vertical="center" wrapText="1"/>
    </xf>
    <xf numFmtId="49" fontId="78" fillId="0" borderId="7" xfId="107" applyNumberFormat="1" applyFont="1" applyFill="1" applyBorder="1" applyAlignment="1" applyProtection="1">
      <alignment horizontal="left" vertical="center" wrapText="1"/>
      <protection locked="0"/>
    </xf>
    <xf numFmtId="49" fontId="78" fillId="0" borderId="7" xfId="107" applyNumberFormat="1" applyFont="1" applyFill="1" applyBorder="1" applyAlignment="1">
      <alignment horizontal="center" vertical="center"/>
    </xf>
    <xf numFmtId="4" fontId="78" fillId="0" borderId="7" xfId="107" applyNumberFormat="1" applyFont="1" applyFill="1" applyBorder="1" applyAlignment="1" applyProtection="1">
      <alignment horizontal="right" vertical="center" wrapText="1"/>
      <protection locked="0"/>
    </xf>
    <xf numFmtId="0" fontId="78" fillId="0" borderId="7" xfId="107" applyFont="1" applyFill="1" applyBorder="1" applyAlignment="1">
      <alignment vertical="center" wrapText="1"/>
    </xf>
    <xf numFmtId="49" fontId="64" fillId="0" borderId="7" xfId="107" applyNumberFormat="1" applyFont="1" applyFill="1" applyBorder="1" applyAlignment="1">
      <alignment horizontal="center" vertical="center"/>
    </xf>
    <xf numFmtId="0" fontId="64" fillId="0" borderId="7" xfId="108" applyFont="1" applyFill="1" applyBorder="1" applyAlignment="1">
      <alignment horizontal="left" vertical="center" wrapText="1" indent="1"/>
    </xf>
    <xf numFmtId="0" fontId="64" fillId="0" borderId="7" xfId="107" applyFont="1" applyFill="1" applyBorder="1" applyAlignment="1">
      <alignment horizontal="center" vertical="center"/>
    </xf>
    <xf numFmtId="49" fontId="64" fillId="0" borderId="7" xfId="107" applyNumberFormat="1" applyFont="1" applyFill="1" applyBorder="1" applyAlignment="1" applyProtection="1">
      <alignment horizontal="left" vertical="center" wrapText="1"/>
      <protection locked="0"/>
    </xf>
    <xf numFmtId="4" fontId="15" fillId="0" borderId="7" xfId="107" applyNumberFormat="1" applyFont="1" applyFill="1" applyBorder="1" applyAlignment="1">
      <alignment horizontal="right" vertical="center" wrapText="1"/>
    </xf>
    <xf numFmtId="0" fontId="64" fillId="0" borderId="7" xfId="107" applyFont="1" applyFill="1" applyBorder="1" applyAlignment="1">
      <alignment horizontal="left" vertical="center" wrapText="1" indent="2"/>
    </xf>
    <xf numFmtId="0" fontId="70" fillId="0" borderId="0" xfId="106" applyFont="1" applyFill="1" applyAlignment="1">
      <alignment vertical="center"/>
    </xf>
    <xf numFmtId="0" fontId="64" fillId="0" borderId="7" xfId="107" applyFont="1" applyFill="1" applyBorder="1" applyAlignment="1">
      <alignment horizontal="right" vertical="center" wrapText="1"/>
    </xf>
    <xf numFmtId="0" fontId="64" fillId="0" borderId="7" xfId="107" applyFont="1" applyFill="1" applyBorder="1" applyAlignment="1">
      <alignment horizontal="left" vertical="center" wrapText="1" indent="1"/>
    </xf>
    <xf numFmtId="0" fontId="64" fillId="0" borderId="7" xfId="108" quotePrefix="1" applyFont="1" applyFill="1" applyBorder="1" applyAlignment="1">
      <alignment horizontal="left" vertical="center" wrapText="1" indent="1"/>
    </xf>
    <xf numFmtId="0" fontId="64" fillId="0" borderId="7" xfId="107" applyFont="1" applyFill="1" applyBorder="1" applyAlignment="1">
      <alignment horizontal="left" vertical="center" wrapText="1"/>
    </xf>
    <xf numFmtId="0" fontId="64" fillId="0" borderId="7" xfId="107" applyFont="1" applyFill="1" applyBorder="1" applyAlignment="1">
      <alignment vertical="center" wrapText="1"/>
    </xf>
    <xf numFmtId="0" fontId="3" fillId="0" borderId="0" xfId="112" applyFill="1"/>
    <xf numFmtId="4" fontId="13" fillId="0" borderId="7" xfId="104" applyNumberFormat="1" applyFont="1" applyFill="1" applyBorder="1" applyAlignment="1" applyProtection="1">
      <alignment horizontal="right" vertical="center" wrapText="1"/>
      <protection locked="0"/>
    </xf>
    <xf numFmtId="4" fontId="13" fillId="0" borderId="7" xfId="104" applyNumberFormat="1" applyFont="1" applyFill="1" applyBorder="1" applyAlignment="1">
      <alignment horizontal="right" vertical="center" wrapText="1"/>
    </xf>
    <xf numFmtId="0" fontId="70" fillId="0" borderId="0" xfId="106" applyFont="1" applyFill="1" applyAlignment="1">
      <alignment horizontal="center" vertical="center"/>
    </xf>
    <xf numFmtId="0" fontId="70" fillId="0" borderId="0" xfId="106" applyFont="1" applyFill="1" applyAlignment="1">
      <alignment vertical="center" wrapText="1"/>
    </xf>
    <xf numFmtId="0" fontId="14" fillId="0" borderId="0" xfId="107" applyFont="1" applyFill="1" applyAlignment="1">
      <alignment vertical="center"/>
    </xf>
    <xf numFmtId="49" fontId="66" fillId="0" borderId="0" xfId="106" applyNumberFormat="1" applyFont="1" applyFill="1" applyAlignment="1">
      <alignment horizontal="left" vertical="center" wrapText="1" indent="4"/>
    </xf>
    <xf numFmtId="0" fontId="70" fillId="0" borderId="7" xfId="106" applyFont="1" applyFill="1" applyBorder="1" applyAlignment="1">
      <alignment horizontal="center" vertical="center" wrapText="1"/>
    </xf>
    <xf numFmtId="0" fontId="70" fillId="0" borderId="0" xfId="106" applyFont="1" applyFill="1" applyAlignment="1">
      <alignment horizontal="center" vertical="center" wrapText="1"/>
    </xf>
    <xf numFmtId="0" fontId="0" fillId="0" borderId="2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66" fillId="0" borderId="0" xfId="106" applyFont="1" applyFill="1" applyAlignment="1">
      <alignment vertical="center" wrapText="1"/>
    </xf>
    <xf numFmtId="0" fontId="70" fillId="0" borderId="0" xfId="106" applyFont="1" applyFill="1" applyAlignment="1">
      <alignment horizontal="left" vertical="center" wrapText="1"/>
    </xf>
    <xf numFmtId="49" fontId="13" fillId="0" borderId="7" xfId="106" applyNumberFormat="1" applyFont="1" applyFill="1" applyBorder="1" applyAlignment="1">
      <alignment horizontal="center" vertical="center" wrapText="1"/>
    </xf>
    <xf numFmtId="0" fontId="13" fillId="0" borderId="7" xfId="106" applyFont="1" applyFill="1" applyBorder="1" applyAlignment="1">
      <alignment vertical="center" wrapText="1"/>
    </xf>
    <xf numFmtId="0" fontId="13" fillId="0" borderId="7" xfId="106" applyFont="1" applyFill="1" applyBorder="1" applyAlignment="1">
      <alignment horizontal="center" vertical="center" wrapText="1"/>
    </xf>
    <xf numFmtId="4" fontId="78" fillId="0" borderId="7" xfId="106" applyNumberFormat="1" applyFont="1" applyFill="1" applyBorder="1" applyAlignment="1" applyProtection="1">
      <alignment horizontal="right" vertical="center"/>
      <protection locked="0"/>
    </xf>
    <xf numFmtId="4" fontId="78" fillId="0" borderId="7" xfId="106" applyNumberFormat="1" applyFont="1" applyFill="1" applyBorder="1" applyAlignment="1">
      <alignment horizontal="right" vertical="center"/>
    </xf>
    <xf numFmtId="0" fontId="66" fillId="0" borderId="0" xfId="106" applyFont="1" applyFill="1" applyAlignment="1">
      <alignment horizontal="center" vertical="center" wrapText="1"/>
    </xf>
    <xf numFmtId="0" fontId="70" fillId="0" borderId="0" xfId="106" applyFont="1" applyFill="1" applyAlignment="1">
      <alignment horizontal="left" vertical="center"/>
    </xf>
    <xf numFmtId="49" fontId="64" fillId="0" borderId="7" xfId="106" applyNumberFormat="1" applyFont="1" applyFill="1" applyBorder="1" applyAlignment="1">
      <alignment horizontal="center" vertical="center"/>
    </xf>
    <xf numFmtId="0" fontId="64" fillId="0" borderId="7" xfId="106" applyFont="1" applyFill="1" applyBorder="1" applyAlignment="1">
      <alignment horizontal="left" vertical="center" wrapText="1" indent="1"/>
    </xf>
    <xf numFmtId="0" fontId="64" fillId="0" borderId="7" xfId="106" applyFont="1" applyFill="1" applyBorder="1" applyAlignment="1">
      <alignment horizontal="center" vertical="center"/>
    </xf>
    <xf numFmtId="169" fontId="64" fillId="0" borderId="7" xfId="106" applyNumberFormat="1" applyFont="1" applyFill="1" applyBorder="1" applyAlignment="1" applyProtection="1">
      <alignment horizontal="right" vertical="center"/>
      <protection locked="0"/>
    </xf>
    <xf numFmtId="169" fontId="64" fillId="0" borderId="7" xfId="106" applyNumberFormat="1" applyFont="1" applyFill="1" applyBorder="1" applyAlignment="1">
      <alignment horizontal="right" vertical="center"/>
    </xf>
    <xf numFmtId="0" fontId="13" fillId="0" borderId="7" xfId="106" applyFont="1" applyFill="1" applyBorder="1" applyAlignment="1">
      <alignment horizontal="left" vertical="center" wrapText="1" indent="1"/>
    </xf>
    <xf numFmtId="49" fontId="78" fillId="0" borderId="30" xfId="102" applyNumberFormat="1" applyFont="1" applyFill="1" applyBorder="1" applyAlignment="1" applyProtection="1">
      <alignment horizontal="left" vertical="center" wrapText="1"/>
      <protection locked="0"/>
    </xf>
    <xf numFmtId="0" fontId="64" fillId="0" borderId="7" xfId="106" applyFont="1" applyFill="1" applyBorder="1" applyAlignment="1">
      <alignment horizontal="left" vertical="center" wrapText="1" indent="2"/>
    </xf>
    <xf numFmtId="4" fontId="64" fillId="0" borderId="7" xfId="106" applyNumberFormat="1" applyFont="1" applyFill="1" applyBorder="1" applyAlignment="1">
      <alignment horizontal="right" vertical="center"/>
    </xf>
    <xf numFmtId="0" fontId="68" fillId="0" borderId="0" xfId="106" applyFont="1" applyFill="1" applyAlignment="1">
      <alignment vertical="center"/>
    </xf>
    <xf numFmtId="0" fontId="0" fillId="0" borderId="7" xfId="106" applyFont="1" applyFill="1" applyBorder="1" applyAlignment="1">
      <alignment horizontal="left" vertical="center" wrapText="1" indent="3"/>
    </xf>
    <xf numFmtId="0" fontId="0" fillId="0" borderId="7" xfId="106" applyFont="1" applyFill="1" applyBorder="1" applyAlignment="1">
      <alignment horizontal="center" vertical="center" wrapText="1"/>
    </xf>
    <xf numFmtId="0" fontId="64" fillId="0" borderId="7" xfId="106" applyFont="1" applyFill="1" applyBorder="1" applyAlignment="1">
      <alignment horizontal="left" vertical="center" wrapText="1" indent="3"/>
    </xf>
    <xf numFmtId="0" fontId="64" fillId="0" borderId="0" xfId="113" applyFont="1" applyFill="1" applyAlignment="1">
      <alignment horizontal="left" vertical="center"/>
    </xf>
    <xf numFmtId="0" fontId="0" fillId="0" borderId="7" xfId="106" applyFont="1" applyFill="1" applyBorder="1" applyAlignment="1">
      <alignment horizontal="left" vertical="center" wrapText="1" indent="2"/>
    </xf>
    <xf numFmtId="0" fontId="66" fillId="0" borderId="0" xfId="106" applyFont="1" applyFill="1" applyAlignment="1">
      <alignment vertical="center"/>
    </xf>
    <xf numFmtId="49" fontId="78" fillId="0" borderId="7" xfId="106" applyNumberFormat="1" applyFont="1" applyFill="1" applyBorder="1" applyAlignment="1">
      <alignment horizontal="center" vertical="center"/>
    </xf>
    <xf numFmtId="0" fontId="78" fillId="0" borderId="7" xfId="106" applyFont="1" applyFill="1" applyBorder="1" applyAlignment="1">
      <alignment horizontal="left" vertical="center" wrapText="1" indent="1"/>
    </xf>
    <xf numFmtId="0" fontId="78" fillId="0" borderId="7" xfId="106" applyFont="1" applyFill="1" applyBorder="1" applyAlignment="1">
      <alignment horizontal="center" vertical="center"/>
    </xf>
    <xf numFmtId="49" fontId="64" fillId="0" borderId="30" xfId="102" applyNumberFormat="1" applyFont="1" applyFill="1" applyBorder="1" applyAlignment="1">
      <alignment horizontal="left" vertical="center" wrapText="1"/>
    </xf>
    <xf numFmtId="4" fontId="0" fillId="0" borderId="7" xfId="106" applyNumberFormat="1" applyFont="1" applyFill="1" applyBorder="1" applyAlignment="1" applyProtection="1">
      <alignment horizontal="right" vertical="center" wrapText="1"/>
      <protection locked="0"/>
    </xf>
    <xf numFmtId="0" fontId="11" fillId="0" borderId="7" xfId="106" applyFont="1" applyFill="1" applyBorder="1" applyAlignment="1">
      <alignment horizontal="left" vertical="center" wrapText="1" indent="1"/>
    </xf>
    <xf numFmtId="0" fontId="78" fillId="0" borderId="7" xfId="106" applyFont="1" applyFill="1" applyBorder="1" applyAlignment="1">
      <alignment vertical="center" wrapText="1"/>
    </xf>
    <xf numFmtId="0" fontId="64" fillId="0" borderId="7" xfId="106" applyFont="1" applyFill="1" applyBorder="1" applyAlignment="1">
      <alignment horizontal="left" vertical="center" wrapText="1"/>
    </xf>
    <xf numFmtId="0" fontId="78" fillId="0" borderId="7" xfId="106" applyFont="1" applyFill="1" applyBorder="1" applyAlignment="1">
      <alignment horizontal="left" vertical="center" wrapText="1"/>
    </xf>
    <xf numFmtId="0" fontId="0" fillId="0" borderId="7" xfId="106" applyFont="1" applyFill="1" applyBorder="1" applyAlignment="1">
      <alignment horizontal="left" vertical="center" wrapText="1" indent="1"/>
    </xf>
    <xf numFmtId="4" fontId="78" fillId="0" borderId="7" xfId="112" applyNumberFormat="1" applyFont="1" applyFill="1" applyBorder="1" applyAlignment="1">
      <alignment horizontal="right" vertical="center"/>
    </xf>
    <xf numFmtId="0" fontId="1" fillId="0" borderId="0" xfId="112" applyFont="1" applyFill="1"/>
    <xf numFmtId="169" fontId="78" fillId="0" borderId="7" xfId="106" applyNumberFormat="1" applyFont="1" applyFill="1" applyBorder="1" applyAlignment="1">
      <alignment horizontal="right" vertical="center"/>
    </xf>
    <xf numFmtId="169" fontId="64" fillId="0" borderId="7" xfId="112" applyNumberFormat="1" applyFont="1" applyFill="1" applyBorder="1" applyAlignment="1" applyProtection="1">
      <alignment horizontal="right" vertical="center"/>
      <protection locked="0"/>
    </xf>
    <xf numFmtId="4" fontId="64" fillId="0" borderId="7" xfId="112" applyNumberFormat="1" applyFont="1" applyFill="1" applyBorder="1" applyAlignment="1" applyProtection="1">
      <alignment horizontal="right" vertical="center"/>
      <protection locked="0"/>
    </xf>
    <xf numFmtId="169" fontId="64" fillId="0" borderId="7" xfId="112" applyNumberFormat="1" applyFont="1" applyFill="1" applyBorder="1" applyAlignment="1">
      <alignment horizontal="right" vertical="center"/>
    </xf>
    <xf numFmtId="4" fontId="64" fillId="0" borderId="7" xfId="112" applyNumberFormat="1" applyFont="1" applyFill="1" applyBorder="1" applyAlignment="1">
      <alignment horizontal="right" vertical="center"/>
    </xf>
    <xf numFmtId="49" fontId="0" fillId="0" borderId="7" xfId="106" applyNumberFormat="1" applyFont="1" applyFill="1" applyBorder="1" applyAlignment="1">
      <alignment horizontal="center" vertical="center"/>
    </xf>
    <xf numFmtId="0" fontId="0" fillId="0" borderId="7" xfId="106" applyFont="1" applyFill="1" applyBorder="1" applyAlignment="1">
      <alignment horizontal="center" vertical="center"/>
    </xf>
    <xf numFmtId="0" fontId="64" fillId="0" borderId="0" xfId="106" applyFont="1" applyFill="1" applyAlignment="1">
      <alignment horizontal="left" vertical="center" wrapText="1"/>
    </xf>
    <xf numFmtId="0" fontId="64" fillId="0" borderId="0" xfId="106" applyFont="1" applyFill="1" applyAlignment="1">
      <alignment vertical="center" wrapText="1"/>
    </xf>
    <xf numFmtId="0" fontId="11" fillId="0" borderId="0" xfId="106" applyNumberFormat="1" applyFont="1" applyFill="1" applyAlignment="1">
      <alignment horizontal="left" vertical="center" indent="2"/>
    </xf>
    <xf numFmtId="0" fontId="11" fillId="0" borderId="0" xfId="107" applyFont="1" applyFill="1" applyAlignment="1">
      <alignment vertical="center"/>
    </xf>
    <xf numFmtId="49" fontId="78" fillId="0" borderId="9" xfId="106" applyNumberFormat="1" applyFont="1" applyFill="1" applyBorder="1" applyAlignment="1">
      <alignment horizontal="left" vertical="center" wrapText="1" indent="1"/>
    </xf>
    <xf numFmtId="0" fontId="101" fillId="0" borderId="0" xfId="107" applyFont="1" applyFill="1" applyAlignment="1">
      <alignment vertical="center"/>
    </xf>
    <xf numFmtId="49" fontId="78" fillId="0" borderId="31" xfId="106" applyNumberFormat="1" applyFont="1" applyFill="1" applyBorder="1" applyAlignment="1">
      <alignment horizontal="left" vertical="center"/>
    </xf>
    <xf numFmtId="49" fontId="78" fillId="0" borderId="32" xfId="106" applyNumberFormat="1" applyFont="1" applyFill="1" applyBorder="1" applyAlignment="1">
      <alignment horizontal="left" vertical="center" wrapText="1"/>
    </xf>
    <xf numFmtId="49" fontId="78" fillId="0" borderId="33" xfId="106" applyNumberFormat="1" applyFont="1" applyFill="1" applyBorder="1" applyAlignment="1">
      <alignment horizontal="left" vertical="center" wrapText="1"/>
    </xf>
    <xf numFmtId="0" fontId="11" fillId="0" borderId="30" xfId="106" applyFont="1" applyFill="1" applyBorder="1" applyAlignment="1">
      <alignment horizontal="center" vertical="center" wrapText="1"/>
    </xf>
    <xf numFmtId="0" fontId="11" fillId="0" borderId="0" xfId="106" applyFont="1" applyFill="1" applyAlignment="1">
      <alignment horizontal="left" vertical="center" wrapText="1"/>
    </xf>
    <xf numFmtId="0" fontId="11" fillId="0" borderId="0" xfId="49" applyFont="1" applyFill="1" applyAlignment="1">
      <alignment horizontal="center" vertical="center" wrapText="1"/>
    </xf>
    <xf numFmtId="0" fontId="11" fillId="0" borderId="0" xfId="106" applyFont="1" applyFill="1" applyAlignment="1">
      <alignment vertical="center"/>
    </xf>
    <xf numFmtId="0" fontId="11" fillId="0" borderId="71" xfId="106" applyFont="1" applyFill="1" applyBorder="1" applyAlignment="1">
      <alignment horizontal="center" vertical="center" wrapText="1"/>
    </xf>
    <xf numFmtId="0" fontId="13" fillId="0" borderId="31" xfId="106" applyFont="1" applyFill="1" applyBorder="1" applyAlignment="1">
      <alignment horizontal="left" vertical="center" indent="1"/>
    </xf>
    <xf numFmtId="0" fontId="13" fillId="0" borderId="32" xfId="106" applyFont="1" applyFill="1" applyBorder="1" applyAlignment="1">
      <alignment vertical="center" wrapText="1"/>
    </xf>
    <xf numFmtId="0" fontId="13" fillId="0" borderId="33" xfId="106" applyFont="1" applyFill="1" applyBorder="1" applyAlignment="1">
      <alignment vertical="center" wrapText="1"/>
    </xf>
    <xf numFmtId="49" fontId="13" fillId="0" borderId="32" xfId="106" applyNumberFormat="1" applyFont="1" applyFill="1" applyBorder="1" applyAlignment="1">
      <alignment vertical="center" wrapText="1"/>
    </xf>
    <xf numFmtId="49" fontId="13" fillId="0" borderId="33" xfId="106" applyNumberFormat="1" applyFont="1" applyFill="1" applyBorder="1" applyAlignment="1">
      <alignment vertical="center" wrapText="1"/>
    </xf>
    <xf numFmtId="0" fontId="78" fillId="0" borderId="0" xfId="106" applyFont="1" applyFill="1" applyAlignment="1">
      <alignment vertical="center"/>
    </xf>
    <xf numFmtId="0" fontId="13" fillId="0" borderId="7" xfId="106" applyFont="1" applyFill="1" applyBorder="1" applyAlignment="1">
      <alignment horizontal="left" vertical="center" wrapText="1"/>
    </xf>
    <xf numFmtId="0" fontId="13" fillId="0" borderId="7" xfId="49" applyFont="1" applyFill="1" applyBorder="1" applyAlignment="1">
      <alignment horizontal="center" vertical="center" wrapText="1"/>
    </xf>
    <xf numFmtId="4" fontId="13" fillId="0" borderId="7" xfId="106" applyNumberFormat="1" applyFont="1" applyFill="1" applyBorder="1" applyAlignment="1" applyProtection="1">
      <alignment vertical="center"/>
      <protection locked="0"/>
    </xf>
    <xf numFmtId="4" fontId="13" fillId="0" borderId="30" xfId="106" applyNumberFormat="1" applyFont="1" applyFill="1" applyBorder="1" applyAlignment="1">
      <alignment vertical="center"/>
    </xf>
    <xf numFmtId="0" fontId="11" fillId="0" borderId="7" xfId="106" applyFont="1" applyFill="1" applyBorder="1" applyAlignment="1">
      <alignment horizontal="left" vertical="center" wrapText="1"/>
    </xf>
    <xf numFmtId="0" fontId="11" fillId="0" borderId="7" xfId="49" applyFill="1" applyBorder="1" applyAlignment="1">
      <alignment horizontal="center" vertical="center" wrapText="1"/>
    </xf>
    <xf numFmtId="4" fontId="11" fillId="0" borderId="7" xfId="0" applyNumberFormat="1" applyFont="1" applyFill="1" applyBorder="1" applyAlignment="1">
      <alignment horizontal="right" vertical="center" wrapText="1"/>
    </xf>
    <xf numFmtId="0" fontId="11" fillId="0" borderId="7" xfId="106" applyFont="1" applyFill="1" applyBorder="1" applyAlignment="1">
      <alignment vertical="center"/>
    </xf>
    <xf numFmtId="0" fontId="11" fillId="0" borderId="71" xfId="106" applyFont="1" applyFill="1" applyBorder="1" applyAlignment="1">
      <alignment vertical="center"/>
    </xf>
    <xf numFmtId="0" fontId="64" fillId="0" borderId="29" xfId="106" applyFont="1" applyFill="1" applyBorder="1" applyAlignment="1">
      <alignment vertical="center" wrapText="1"/>
    </xf>
    <xf numFmtId="0" fontId="64" fillId="0" borderId="43" xfId="106" applyFont="1" applyFill="1" applyBorder="1" applyAlignment="1">
      <alignment horizontal="center" vertical="center" wrapText="1"/>
    </xf>
    <xf numFmtId="0" fontId="64" fillId="0" borderId="47" xfId="106" applyFont="1" applyFill="1" applyBorder="1" applyAlignment="1">
      <alignment horizontal="center" vertical="center" wrapText="1"/>
    </xf>
    <xf numFmtId="0" fontId="64" fillId="0" borderId="0" xfId="106" applyFont="1" applyFill="1" applyAlignment="1">
      <alignment horizontal="center" vertical="center" wrapText="1"/>
    </xf>
    <xf numFmtId="0" fontId="64" fillId="0" borderId="29" xfId="106" applyFont="1" applyFill="1" applyBorder="1" applyAlignment="1">
      <alignment horizontal="center" vertical="center" wrapText="1"/>
    </xf>
    <xf numFmtId="0" fontId="64" fillId="0" borderId="29" xfId="107" applyFont="1" applyFill="1" applyBorder="1"/>
    <xf numFmtId="4" fontId="64" fillId="0" borderId="43" xfId="106" applyNumberFormat="1" applyFont="1" applyFill="1" applyBorder="1" applyAlignment="1" applyProtection="1">
      <alignment horizontal="right" vertical="center"/>
      <protection locked="0"/>
    </xf>
    <xf numFmtId="169" fontId="64" fillId="0" borderId="43" xfId="106" applyNumberFormat="1" applyFont="1" applyFill="1" applyBorder="1" applyAlignment="1" applyProtection="1">
      <alignment horizontal="right" vertical="center"/>
      <protection locked="0"/>
    </xf>
    <xf numFmtId="169" fontId="64" fillId="0" borderId="43" xfId="106" applyNumberFormat="1" applyFont="1" applyFill="1" applyBorder="1" applyAlignment="1">
      <alignment horizontal="right" vertical="center"/>
    </xf>
    <xf numFmtId="0" fontId="70" fillId="0" borderId="29" xfId="106" applyFont="1" applyFill="1" applyBorder="1" applyAlignment="1">
      <alignment vertical="center"/>
    </xf>
    <xf numFmtId="0" fontId="64" fillId="0" borderId="29" xfId="106" applyFont="1" applyFill="1" applyBorder="1" applyAlignment="1">
      <alignment vertical="center"/>
    </xf>
    <xf numFmtId="0" fontId="64" fillId="0" borderId="15" xfId="106" applyFont="1" applyFill="1" applyBorder="1" applyAlignment="1">
      <alignment horizontal="center" vertical="center" wrapText="1"/>
    </xf>
    <xf numFmtId="0" fontId="11" fillId="0" borderId="0" xfId="46" applyFont="1" applyFill="1" applyProtection="1"/>
    <xf numFmtId="0" fontId="11" fillId="0" borderId="0" xfId="46" applyFont="1" applyFill="1" applyBorder="1" applyProtection="1"/>
    <xf numFmtId="0" fontId="26" fillId="0" borderId="9" xfId="50" applyFont="1" applyFill="1" applyBorder="1" applyAlignment="1">
      <alignment horizontal="center" vertical="center"/>
    </xf>
    <xf numFmtId="49" fontId="11" fillId="0" borderId="10" xfId="46" applyNumberFormat="1" applyFont="1" applyFill="1" applyBorder="1" applyAlignment="1" applyProtection="1">
      <alignment horizontal="left" vertical="center" wrapText="1"/>
      <protection locked="0"/>
    </xf>
    <xf numFmtId="0" fontId="11" fillId="0" borderId="0" xfId="46" applyFont="1" applyFill="1"/>
    <xf numFmtId="0" fontId="11" fillId="0" borderId="66" xfId="46" applyFont="1" applyFill="1" applyBorder="1" applyAlignment="1">
      <alignment horizontal="center" vertical="center"/>
    </xf>
    <xf numFmtId="0" fontId="11" fillId="0" borderId="65" xfId="46" applyFont="1" applyFill="1" applyBorder="1" applyAlignment="1">
      <alignment horizontal="center" vertical="center"/>
    </xf>
    <xf numFmtId="0" fontId="11" fillId="0" borderId="73" xfId="97" applyFont="1" applyBorder="1" applyAlignment="1">
      <alignment vertical="center"/>
    </xf>
    <xf numFmtId="0" fontId="11" fillId="0" borderId="0" xfId="97" applyFont="1" applyAlignment="1">
      <alignment horizontal="left" vertical="center" indent="2"/>
    </xf>
    <xf numFmtId="0" fontId="11" fillId="0" borderId="73" xfId="97" applyFont="1" applyBorder="1" applyAlignment="1">
      <alignment horizontal="center" vertical="center"/>
    </xf>
    <xf numFmtId="0" fontId="11" fillId="0" borderId="0" xfId="97" applyFont="1" applyAlignment="1">
      <alignment horizontal="center" vertical="center"/>
    </xf>
    <xf numFmtId="49" fontId="11" fillId="0" borderId="73" xfId="97" applyNumberFormat="1" applyFont="1" applyBorder="1" applyAlignment="1">
      <alignment horizontal="center" vertical="center"/>
    </xf>
    <xf numFmtId="49" fontId="11" fillId="0" borderId="73" xfId="97" applyNumberFormat="1" applyFont="1" applyBorder="1" applyAlignment="1">
      <alignment horizontal="left" vertical="center" indent="1"/>
    </xf>
    <xf numFmtId="0" fontId="15" fillId="0" borderId="0" xfId="42" applyNumberFormat="1" applyFont="1" applyFill="1" applyBorder="1" applyAlignment="1" applyProtection="1">
      <alignment vertical="top" wrapText="1"/>
    </xf>
    <xf numFmtId="49" fontId="38" fillId="9" borderId="16" xfId="42" applyFont="1" applyFill="1" applyBorder="1" applyAlignment="1">
      <alignment vertical="center" wrapText="1"/>
    </xf>
    <xf numFmtId="49" fontId="38" fillId="9" borderId="0" xfId="42" applyFont="1" applyFill="1" applyBorder="1" applyAlignment="1">
      <alignment vertical="center" wrapText="1"/>
    </xf>
    <xf numFmtId="49" fontId="38" fillId="9" borderId="16" xfId="42" applyFont="1" applyFill="1" applyBorder="1" applyAlignment="1">
      <alignment horizontal="left" vertical="center" wrapText="1"/>
    </xf>
    <xf numFmtId="49" fontId="38" fillId="9" borderId="0" xfId="42" applyFont="1" applyFill="1" applyBorder="1" applyAlignment="1">
      <alignment horizontal="left" vertical="center" wrapText="1"/>
    </xf>
    <xf numFmtId="0" fontId="25" fillId="0" borderId="0" xfId="42" applyNumberFormat="1" applyFont="1" applyFill="1" applyAlignment="1" applyProtection="1">
      <alignment horizontal="left" vertical="center" wrapText="1"/>
    </xf>
    <xf numFmtId="0" fontId="25" fillId="0" borderId="0" xfId="42" applyNumberFormat="1" applyFont="1" applyFill="1" applyAlignment="1" applyProtection="1">
      <alignment horizontal="left" vertical="center"/>
    </xf>
    <xf numFmtId="0" fontId="25" fillId="10" borderId="17" xfId="29" applyNumberFormat="1" applyFont="1" applyFill="1" applyBorder="1" applyAlignment="1">
      <alignment horizontal="center" vertical="center" wrapText="1"/>
    </xf>
    <xf numFmtId="0" fontId="25" fillId="10" borderId="18" xfId="29" applyNumberFormat="1" applyFont="1" applyFill="1" applyBorder="1" applyAlignment="1">
      <alignment horizontal="center" vertical="center" wrapText="1"/>
    </xf>
    <xf numFmtId="0" fontId="25" fillId="10" borderId="19" xfId="29" applyNumberFormat="1" applyFont="1" applyFill="1" applyBorder="1" applyAlignment="1">
      <alignment horizontal="center" vertical="center" wrapText="1"/>
    </xf>
    <xf numFmtId="0" fontId="38" fillId="0" borderId="0" xfId="43" applyNumberFormat="1" applyFont="1" applyFill="1" applyBorder="1" applyAlignment="1" applyProtection="1">
      <alignment horizontal="justify" vertical="top" wrapText="1"/>
    </xf>
    <xf numFmtId="0" fontId="38" fillId="0" borderId="0" xfId="42" applyNumberFormat="1" applyFont="1" applyFill="1" applyBorder="1" applyAlignment="1" applyProtection="1">
      <alignment horizontal="justify" vertical="center" wrapText="1"/>
    </xf>
    <xf numFmtId="49" fontId="46" fillId="0" borderId="0" xfId="35" applyNumberFormat="1" applyFont="1" applyBorder="1" applyProtection="1">
      <alignment vertical="top"/>
    </xf>
    <xf numFmtId="0" fontId="25" fillId="0" borderId="0" xfId="23" applyFont="1" applyFill="1" applyBorder="1" applyAlignment="1" applyProtection="1">
      <alignment horizontal="left" vertical="top" wrapText="1"/>
    </xf>
    <xf numFmtId="49" fontId="42" fillId="0" borderId="0" xfId="34" applyNumberFormat="1" applyFont="1" applyFill="1" applyBorder="1" applyAlignment="1" applyProtection="1">
      <alignment horizontal="left" vertical="top" wrapText="1"/>
    </xf>
    <xf numFmtId="0" fontId="38" fillId="0" borderId="0" xfId="42" applyNumberFormat="1" applyFont="1" applyFill="1" applyBorder="1" applyAlignment="1" applyProtection="1">
      <alignment horizontal="justify" vertical="top" wrapText="1"/>
    </xf>
    <xf numFmtId="0" fontId="46" fillId="0" borderId="0" xfId="31" applyFont="1" applyFill="1" applyBorder="1" applyAlignment="1" applyProtection="1">
      <alignment horizontal="left" vertical="center" wrapText="1"/>
    </xf>
    <xf numFmtId="0" fontId="46" fillId="0" borderId="0" xfId="31" applyFont="1" applyFill="1" applyBorder="1" applyAlignment="1" applyProtection="1">
      <alignment horizontal="left" vertical="top" wrapText="1"/>
    </xf>
    <xf numFmtId="49" fontId="38" fillId="0" borderId="0" xfId="42" applyFont="1" applyFill="1" applyBorder="1" applyAlignment="1" applyProtection="1">
      <alignment horizontal="left" wrapText="1"/>
    </xf>
    <xf numFmtId="49" fontId="38" fillId="0" borderId="0" xfId="42" applyFont="1" applyFill="1" applyBorder="1" applyAlignment="1" applyProtection="1">
      <alignment horizontal="justify" vertical="justify" wrapText="1"/>
    </xf>
    <xf numFmtId="0" fontId="25" fillId="0" borderId="0" xfId="41" applyFont="1" applyFill="1" applyBorder="1" applyAlignment="1" applyProtection="1">
      <alignment horizontal="left" vertical="top" wrapText="1"/>
    </xf>
    <xf numFmtId="0" fontId="25" fillId="0" borderId="0" xfId="41" applyFont="1" applyFill="1" applyBorder="1" applyAlignment="1" applyProtection="1">
      <alignment horizontal="left" vertical="center" wrapText="1" indent="1"/>
    </xf>
    <xf numFmtId="0" fontId="11" fillId="0" borderId="0" xfId="23" applyFont="1" applyFill="1" applyBorder="1" applyAlignment="1" applyProtection="1">
      <alignment horizontal="center" vertical="top" wrapText="1"/>
    </xf>
    <xf numFmtId="49" fontId="25" fillId="0" borderId="0" xfId="16" applyNumberFormat="1" applyFont="1" applyFill="1" applyBorder="1" applyAlignment="1" applyProtection="1">
      <alignment horizontal="left" vertical="center" wrapText="1" indent="1"/>
    </xf>
    <xf numFmtId="0" fontId="11" fillId="0" borderId="5" xfId="97" applyFont="1" applyFill="1" applyBorder="1" applyAlignment="1" applyProtection="1">
      <alignment horizontal="right" vertical="center" wrapText="1" indent="1"/>
    </xf>
    <xf numFmtId="0" fontId="11" fillId="0" borderId="6" xfId="97" applyFont="1" applyFill="1" applyBorder="1" applyAlignment="1" applyProtection="1">
      <alignment horizontal="right" vertical="center" wrapText="1" indent="1"/>
    </xf>
    <xf numFmtId="0" fontId="11" fillId="0" borderId="8" xfId="97" applyFont="1" applyFill="1" applyBorder="1" applyAlignment="1" applyProtection="1">
      <alignment horizontal="right" vertical="center" wrapText="1" indent="1"/>
    </xf>
    <xf numFmtId="0" fontId="11" fillId="0" borderId="7" xfId="97" applyFont="1" applyFill="1" applyBorder="1" applyAlignment="1">
      <alignment horizontal="right" vertical="center" wrapText="1" indent="1"/>
    </xf>
    <xf numFmtId="0" fontId="64" fillId="0" borderId="7" xfId="98" applyFont="1" applyFill="1" applyBorder="1" applyAlignment="1">
      <alignment horizontal="right" vertical="center" wrapText="1" indent="1"/>
    </xf>
    <xf numFmtId="0" fontId="11" fillId="0" borderId="35" xfId="97" applyFont="1" applyFill="1" applyBorder="1" applyAlignment="1">
      <alignment horizontal="right" vertical="center" wrapText="1" indent="1"/>
    </xf>
    <xf numFmtId="0" fontId="11" fillId="0" borderId="36" xfId="97" applyFont="1" applyFill="1" applyBorder="1" applyAlignment="1">
      <alignment horizontal="right" vertical="center" wrapText="1" indent="1"/>
    </xf>
    <xf numFmtId="0" fontId="11" fillId="0" borderId="37" xfId="97" applyFont="1" applyFill="1" applyBorder="1" applyAlignment="1">
      <alignment horizontal="right" vertical="center" wrapText="1" indent="1"/>
    </xf>
    <xf numFmtId="0" fontId="11" fillId="0" borderId="38" xfId="97" applyFont="1" applyFill="1" applyBorder="1" applyAlignment="1">
      <alignment horizontal="right" vertical="center" wrapText="1" indent="1"/>
    </xf>
    <xf numFmtId="0" fontId="11" fillId="0" borderId="31" xfId="97" applyFont="1" applyFill="1" applyBorder="1" applyAlignment="1">
      <alignment horizontal="right" vertical="center" wrapText="1" indent="1"/>
    </xf>
    <xf numFmtId="0" fontId="11" fillId="0" borderId="32" xfId="97" applyFont="1" applyFill="1" applyBorder="1" applyAlignment="1">
      <alignment horizontal="right" vertical="center" wrapText="1" indent="1"/>
    </xf>
    <xf numFmtId="0" fontId="11" fillId="0" borderId="33" xfId="97" applyFont="1" applyFill="1" applyBorder="1" applyAlignment="1">
      <alignment horizontal="right" vertical="center" wrapText="1" indent="1"/>
    </xf>
    <xf numFmtId="0" fontId="14" fillId="0" borderId="30" xfId="97" applyFont="1" applyFill="1" applyBorder="1" applyAlignment="1">
      <alignment vertical="center" wrapText="1"/>
    </xf>
    <xf numFmtId="0" fontId="78" fillId="0" borderId="45" xfId="98" applyFont="1" applyFill="1" applyBorder="1" applyAlignment="1">
      <alignment horizontal="left" vertical="center" wrapText="1" indent="4"/>
    </xf>
    <xf numFmtId="0" fontId="78" fillId="0" borderId="30" xfId="98" applyFont="1" applyFill="1" applyBorder="1" applyAlignment="1">
      <alignment horizontal="left" vertical="center" wrapText="1" indent="4"/>
    </xf>
    <xf numFmtId="0" fontId="11" fillId="0" borderId="30" xfId="97" applyFont="1" applyFill="1" applyBorder="1" applyAlignment="1">
      <alignment horizontal="right" vertical="center" wrapText="1" indent="1"/>
    </xf>
    <xf numFmtId="0" fontId="13" fillId="0" borderId="0" xfId="97" applyFont="1" applyFill="1" applyAlignment="1">
      <alignment vertical="center" wrapText="1"/>
    </xf>
    <xf numFmtId="0" fontId="11" fillId="0" borderId="7" xfId="97" applyFont="1" applyFill="1" applyBorder="1" applyAlignment="1" applyProtection="1">
      <alignment horizontal="right" vertical="center" wrapText="1" indent="1"/>
      <protection locked="0"/>
    </xf>
    <xf numFmtId="0" fontId="64" fillId="0" borderId="7" xfId="98" applyFont="1" applyFill="1" applyBorder="1" applyAlignment="1" applyProtection="1">
      <alignment horizontal="right" vertical="center" wrapText="1" indent="1"/>
      <protection locked="0"/>
    </xf>
    <xf numFmtId="0" fontId="11" fillId="0" borderId="30" xfId="98" applyFont="1" applyFill="1" applyBorder="1" applyAlignment="1">
      <alignment horizontal="center" vertical="center" textRotation="90" wrapText="1"/>
    </xf>
    <xf numFmtId="0" fontId="11" fillId="0" borderId="30" xfId="97" applyFont="1" applyFill="1" applyBorder="1" applyAlignment="1" applyProtection="1">
      <alignment horizontal="right" vertical="center" wrapText="1" indent="1"/>
    </xf>
    <xf numFmtId="0" fontId="14" fillId="0" borderId="0" xfId="97" applyFont="1" applyFill="1" applyAlignment="1">
      <alignment horizontal="center" vertical="center"/>
    </xf>
    <xf numFmtId="49" fontId="13" fillId="0" borderId="30" xfId="98" applyNumberFormat="1" applyFont="1" applyFill="1" applyBorder="1" applyAlignment="1">
      <alignment horizontal="left" vertical="center" wrapText="1" indent="4"/>
    </xf>
    <xf numFmtId="49" fontId="14" fillId="0" borderId="0" xfId="97" applyNumberFormat="1" applyFont="1" applyFill="1" applyBorder="1" applyAlignment="1">
      <alignment horizontal="center" vertical="center"/>
    </xf>
    <xf numFmtId="49" fontId="87" fillId="0" borderId="0" xfId="97" applyNumberFormat="1" applyFont="1" applyFill="1" applyBorder="1" applyAlignment="1">
      <alignment horizontal="center" vertical="center"/>
    </xf>
    <xf numFmtId="49" fontId="78" fillId="0" borderId="30" xfId="98" applyNumberFormat="1" applyFont="1" applyFill="1" applyBorder="1" applyAlignment="1">
      <alignment horizontal="center" vertical="center" wrapText="1"/>
    </xf>
    <xf numFmtId="0" fontId="13" fillId="0" borderId="30" xfId="97" applyFont="1" applyFill="1" applyBorder="1" applyAlignment="1" applyProtection="1">
      <alignment horizontal="center" vertical="center"/>
      <protection locked="0"/>
    </xf>
    <xf numFmtId="0" fontId="13" fillId="0" borderId="30" xfId="97" applyFont="1" applyFill="1" applyBorder="1" applyAlignment="1">
      <alignment horizontal="center" vertical="center"/>
    </xf>
    <xf numFmtId="0" fontId="78" fillId="0" borderId="30" xfId="98" applyNumberFormat="1" applyFont="1" applyFill="1" applyBorder="1" applyAlignment="1">
      <alignment horizontal="center" vertical="center" wrapText="1"/>
    </xf>
    <xf numFmtId="0" fontId="13" fillId="0" borderId="30" xfId="98" applyNumberFormat="1" applyFont="1" applyFill="1" applyBorder="1" applyAlignment="1">
      <alignment horizontal="center" vertical="center" wrapText="1"/>
    </xf>
    <xf numFmtId="0" fontId="11" fillId="0" borderId="31" xfId="97" applyFont="1" applyFill="1" applyBorder="1" applyAlignment="1">
      <alignment vertical="center"/>
    </xf>
    <xf numFmtId="0" fontId="11" fillId="0" borderId="32" xfId="98" applyFont="1" applyFill="1" applyBorder="1" applyAlignment="1">
      <alignment vertical="center"/>
    </xf>
    <xf numFmtId="0" fontId="11" fillId="0" borderId="33" xfId="98" applyFont="1" applyFill="1" applyBorder="1" applyAlignment="1">
      <alignment vertical="center"/>
    </xf>
    <xf numFmtId="0" fontId="13" fillId="0" borderId="9" xfId="99" quotePrefix="1" applyNumberFormat="1" applyFont="1" applyFill="1" applyBorder="1" applyAlignment="1">
      <alignment horizontal="left" vertical="center" wrapText="1" indent="1"/>
    </xf>
    <xf numFmtId="49" fontId="11" fillId="0" borderId="31" xfId="49" applyNumberFormat="1" applyFill="1" applyBorder="1" applyAlignment="1" applyProtection="1">
      <alignment horizontal="left" vertical="center" wrapText="1"/>
      <protection locked="0"/>
    </xf>
    <xf numFmtId="49" fontId="11" fillId="0" borderId="32" xfId="49" applyNumberFormat="1" applyFill="1" applyBorder="1" applyAlignment="1" applyProtection="1">
      <alignment horizontal="left" vertical="center" wrapText="1"/>
      <protection locked="0"/>
    </xf>
    <xf numFmtId="49" fontId="11" fillId="0" borderId="33" xfId="49" applyNumberFormat="1" applyFill="1" applyBorder="1" applyAlignment="1" applyProtection="1">
      <alignment horizontal="left" vertical="center" wrapText="1"/>
      <protection locked="0"/>
    </xf>
    <xf numFmtId="0" fontId="13" fillId="0" borderId="9" xfId="99" quotePrefix="1" applyNumberFormat="1" applyFont="1" applyFill="1" applyBorder="1" applyAlignment="1" applyProtection="1">
      <alignment horizontal="left" vertical="center" wrapText="1" indent="1"/>
    </xf>
    <xf numFmtId="0" fontId="13" fillId="0" borderId="9" xfId="99" applyNumberFormat="1" applyFont="1" applyFill="1" applyBorder="1" applyAlignment="1" applyProtection="1">
      <alignment horizontal="left" vertical="center" wrapText="1" indent="1"/>
    </xf>
    <xf numFmtId="49" fontId="11" fillId="0" borderId="30" xfId="101" applyNumberFormat="1" applyFont="1" applyFill="1" applyBorder="1" applyAlignment="1">
      <alignment horizontal="center" vertical="center" wrapText="1"/>
    </xf>
    <xf numFmtId="49" fontId="13" fillId="0" borderId="0" xfId="99" applyFont="1" applyFill="1" applyBorder="1" applyAlignment="1">
      <alignment horizontal="center" vertical="center" wrapText="1" shrinkToFit="1"/>
    </xf>
    <xf numFmtId="0" fontId="64" fillId="0" borderId="45" xfId="98" applyFont="1" applyFill="1" applyBorder="1" applyAlignment="1" applyProtection="1">
      <alignment horizontal="center" vertical="center" wrapText="1"/>
    </xf>
    <xf numFmtId="0" fontId="64" fillId="0" borderId="46" xfId="98" applyFont="1" applyFill="1" applyBorder="1" applyAlignment="1" applyProtection="1">
      <alignment horizontal="center" vertical="center" wrapText="1"/>
    </xf>
    <xf numFmtId="0" fontId="11" fillId="0" borderId="30" xfId="97" applyFont="1" applyFill="1" applyBorder="1" applyAlignment="1">
      <alignment horizontal="center" vertical="center" wrapText="1"/>
    </xf>
    <xf numFmtId="0" fontId="78" fillId="0" borderId="30" xfId="102" applyFont="1" applyFill="1" applyBorder="1" applyAlignment="1">
      <alignment vertical="center" wrapText="1"/>
    </xf>
    <xf numFmtId="0" fontId="64" fillId="0" borderId="30" xfId="102" applyFont="1" applyFill="1" applyBorder="1" applyAlignment="1">
      <alignment horizontal="center" vertical="center" wrapText="1"/>
    </xf>
    <xf numFmtId="0" fontId="64" fillId="0" borderId="7" xfId="102" applyFont="1" applyFill="1" applyBorder="1" applyAlignment="1">
      <alignment horizontal="center" vertical="center" wrapText="1"/>
    </xf>
    <xf numFmtId="0" fontId="11" fillId="0" borderId="38" xfId="102" applyFont="1" applyFill="1" applyBorder="1" applyAlignment="1">
      <alignment horizontal="center" vertical="center" wrapText="1"/>
    </xf>
    <xf numFmtId="0" fontId="11" fillId="0" borderId="33" xfId="102" applyFont="1" applyFill="1" applyBorder="1" applyAlignment="1">
      <alignment horizontal="center" vertical="center" wrapText="1"/>
    </xf>
    <xf numFmtId="0" fontId="11" fillId="0" borderId="43" xfId="102" applyFont="1" applyFill="1" applyBorder="1" applyAlignment="1">
      <alignment horizontal="center" vertical="center" wrapText="1"/>
    </xf>
    <xf numFmtId="0" fontId="91" fillId="0" borderId="43" xfId="102" applyFont="1" applyFill="1" applyBorder="1" applyAlignment="1">
      <alignment vertical="center"/>
    </xf>
    <xf numFmtId="0" fontId="0" fillId="0" borderId="68" xfId="102" applyFont="1" applyFill="1" applyBorder="1" applyAlignment="1" applyProtection="1">
      <alignment horizontal="left" vertical="center" wrapText="1"/>
      <protection locked="0"/>
    </xf>
    <xf numFmtId="0" fontId="11" fillId="0" borderId="57" xfId="102" applyFont="1" applyFill="1" applyBorder="1" applyAlignment="1" applyProtection="1">
      <alignment horizontal="left" vertical="center" wrapText="1"/>
      <protection locked="0"/>
    </xf>
    <xf numFmtId="0" fontId="11" fillId="0" borderId="69" xfId="102" applyFont="1" applyFill="1" applyBorder="1" applyAlignment="1" applyProtection="1">
      <alignment horizontal="left" vertical="center" wrapText="1"/>
      <protection locked="0"/>
    </xf>
    <xf numFmtId="0" fontId="78" fillId="0" borderId="46" xfId="102" applyFont="1" applyFill="1" applyBorder="1" applyAlignment="1">
      <alignment vertical="center" wrapText="1"/>
    </xf>
    <xf numFmtId="0" fontId="11" fillId="0" borderId="68" xfId="102" applyFont="1" applyFill="1" applyBorder="1" applyAlignment="1" applyProtection="1">
      <alignment horizontal="left" vertical="center" wrapText="1"/>
      <protection locked="0"/>
    </xf>
    <xf numFmtId="0" fontId="11" fillId="0" borderId="7" xfId="102" applyFont="1" applyFill="1" applyBorder="1" applyAlignment="1">
      <alignment horizontal="center" vertical="center" wrapText="1"/>
    </xf>
    <xf numFmtId="0" fontId="5" fillId="0" borderId="7" xfId="102" applyFont="1" applyFill="1" applyBorder="1" applyAlignment="1">
      <alignment vertical="center"/>
    </xf>
    <xf numFmtId="49" fontId="11" fillId="0" borderId="14" xfId="102" applyNumberFormat="1" applyFont="1" applyFill="1" applyBorder="1" applyAlignment="1" applyProtection="1">
      <alignment horizontal="left" vertical="top" wrapText="1"/>
      <protection locked="0"/>
    </xf>
    <xf numFmtId="49" fontId="76" fillId="0" borderId="14" xfId="102" applyNumberFormat="1" applyFont="1" applyFill="1" applyBorder="1" applyAlignment="1" applyProtection="1">
      <alignment horizontal="left" vertical="top" wrapText="1"/>
      <protection locked="0"/>
    </xf>
    <xf numFmtId="0" fontId="11" fillId="0" borderId="30" xfId="102" applyFont="1" applyFill="1" applyBorder="1" applyAlignment="1">
      <alignment horizontal="center" vertical="center" wrapText="1"/>
    </xf>
    <xf numFmtId="49" fontId="11" fillId="0" borderId="0" xfId="102" applyNumberFormat="1" applyFont="1" applyFill="1" applyBorder="1" applyAlignment="1">
      <alignment horizontal="center" vertical="center" wrapText="1"/>
    </xf>
    <xf numFmtId="49" fontId="0" fillId="0" borderId="14" xfId="102" applyNumberFormat="1" applyFont="1" applyFill="1" applyBorder="1" applyAlignment="1" applyProtection="1">
      <alignment horizontal="left" vertical="top" wrapText="1"/>
      <protection locked="0"/>
    </xf>
    <xf numFmtId="0" fontId="13" fillId="0" borderId="0" xfId="105" applyFont="1" applyFill="1" applyBorder="1" applyAlignment="1">
      <alignment horizontal="center"/>
    </xf>
    <xf numFmtId="0" fontId="11" fillId="0" borderId="7" xfId="105" applyFont="1" applyFill="1" applyBorder="1" applyAlignment="1">
      <alignment horizontal="center" vertical="center" wrapText="1"/>
    </xf>
    <xf numFmtId="0" fontId="11" fillId="0" borderId="7" xfId="105" applyFont="1" applyFill="1" applyBorder="1" applyAlignment="1">
      <alignment horizontal="center" vertical="center"/>
    </xf>
    <xf numFmtId="0" fontId="64" fillId="0" borderId="58" xfId="102" applyFont="1" applyFill="1" applyBorder="1" applyAlignment="1">
      <alignment horizontal="center" vertical="center" wrapText="1"/>
    </xf>
    <xf numFmtId="0" fontId="64" fillId="0" borderId="14" xfId="102" applyFont="1" applyFill="1" applyBorder="1" applyAlignment="1">
      <alignment horizontal="center" vertical="center" wrapText="1"/>
    </xf>
    <xf numFmtId="0" fontId="91" fillId="0" borderId="7" xfId="102" applyFont="1" applyFill="1" applyBorder="1"/>
    <xf numFmtId="0" fontId="64" fillId="0" borderId="7" xfId="106" applyFont="1" applyFill="1" applyBorder="1" applyAlignment="1">
      <alignment vertical="center" wrapText="1"/>
    </xf>
    <xf numFmtId="0" fontId="64" fillId="0" borderId="7" xfId="106" applyFont="1" applyFill="1" applyBorder="1" applyAlignment="1">
      <alignment horizontal="center" vertical="center" wrapText="1"/>
    </xf>
    <xf numFmtId="0" fontId="11" fillId="0" borderId="7" xfId="106" applyFont="1" applyFill="1" applyBorder="1" applyAlignment="1">
      <alignment horizontal="center" vertical="center" wrapText="1"/>
    </xf>
    <xf numFmtId="0" fontId="64" fillId="0" borderId="7" xfId="106" applyFont="1" applyFill="1" applyBorder="1"/>
    <xf numFmtId="49" fontId="11" fillId="0" borderId="7" xfId="106" applyNumberFormat="1" applyFont="1" applyFill="1" applyBorder="1" applyAlignment="1" applyProtection="1">
      <alignment horizontal="left" vertical="top" wrapText="1"/>
      <protection locked="0"/>
    </xf>
    <xf numFmtId="0" fontId="64" fillId="0" borderId="7" xfId="107" applyFont="1" applyFill="1" applyBorder="1" applyAlignment="1">
      <alignment horizontal="center" vertical="center" wrapText="1"/>
    </xf>
    <xf numFmtId="0" fontId="5" fillId="0" borderId="7" xfId="106" applyFont="1" applyFill="1" applyBorder="1" applyAlignment="1">
      <alignment vertical="center"/>
    </xf>
    <xf numFmtId="49" fontId="11" fillId="0" borderId="7" xfId="106" applyNumberFormat="1" applyFont="1" applyFill="1" applyBorder="1" applyAlignment="1">
      <alignment horizontal="left" vertical="top" wrapText="1"/>
    </xf>
    <xf numFmtId="49" fontId="76" fillId="0" borderId="7" xfId="106" applyNumberFormat="1" applyFont="1" applyFill="1" applyBorder="1" applyAlignment="1">
      <alignment horizontal="left" vertical="top" wrapText="1"/>
    </xf>
    <xf numFmtId="49" fontId="11" fillId="0" borderId="7" xfId="107" applyNumberFormat="1" applyFont="1" applyFill="1" applyBorder="1" applyAlignment="1">
      <alignment horizontal="center" vertical="center" wrapText="1"/>
    </xf>
    <xf numFmtId="49" fontId="76" fillId="0" borderId="7" xfId="106" applyNumberFormat="1" applyFont="1" applyFill="1" applyBorder="1" applyAlignment="1" applyProtection="1">
      <alignment horizontal="left" vertical="top" wrapText="1"/>
      <protection locked="0"/>
    </xf>
    <xf numFmtId="0" fontId="11" fillId="0" borderId="7" xfId="107" applyFont="1" applyFill="1" applyBorder="1" applyAlignment="1">
      <alignment horizontal="center" vertical="center" wrapText="1"/>
    </xf>
    <xf numFmtId="49" fontId="0" fillId="0" borderId="7" xfId="106" applyNumberFormat="1" applyFont="1" applyFill="1" applyBorder="1" applyAlignment="1" applyProtection="1">
      <alignment horizontal="left" vertical="top" wrapText="1"/>
      <protection locked="0"/>
    </xf>
    <xf numFmtId="0" fontId="70" fillId="0" borderId="7" xfId="106" applyFont="1" applyFill="1" applyBorder="1" applyAlignment="1">
      <alignment horizontal="center" vertical="center" wrapText="1"/>
    </xf>
    <xf numFmtId="0" fontId="14" fillId="0" borderId="7" xfId="106" applyFont="1" applyFill="1" applyBorder="1" applyAlignment="1">
      <alignment horizontal="center" vertical="center" wrapText="1"/>
    </xf>
    <xf numFmtId="49" fontId="0" fillId="11" borderId="7" xfId="0" applyFill="1" applyBorder="1" applyAlignment="1" applyProtection="1">
      <alignment horizontal="left" vertical="center" wrapText="1"/>
      <protection locked="0"/>
    </xf>
    <xf numFmtId="49" fontId="0" fillId="11" borderId="5" xfId="0" applyFill="1" applyBorder="1" applyAlignment="1" applyProtection="1">
      <alignment horizontal="left" vertical="center" wrapText="1"/>
      <protection locked="0"/>
    </xf>
    <xf numFmtId="49" fontId="14" fillId="0" borderId="0" xfId="105" applyNumberFormat="1" applyFont="1" applyAlignment="1">
      <alignment horizontal="center"/>
    </xf>
    <xf numFmtId="49" fontId="11" fillId="9" borderId="0" xfId="102" applyNumberFormat="1" applyFont="1" applyFill="1" applyAlignment="1">
      <alignment horizontal="center" vertical="center" wrapText="1"/>
    </xf>
    <xf numFmtId="49" fontId="11" fillId="9" borderId="0" xfId="102" applyNumberFormat="1" applyFont="1" applyFill="1" applyBorder="1" applyAlignment="1">
      <alignment horizontal="center" vertical="center" wrapText="1"/>
    </xf>
    <xf numFmtId="0" fontId="64" fillId="0" borderId="0" xfId="106" applyFont="1" applyAlignment="1">
      <alignment vertical="center"/>
    </xf>
    <xf numFmtId="49" fontId="87" fillId="0" borderId="0" xfId="97" applyNumberFormat="1" applyFont="1" applyBorder="1" applyAlignment="1">
      <alignment horizontal="center" vertical="center"/>
    </xf>
    <xf numFmtId="49" fontId="11" fillId="2" borderId="31" xfId="49" applyNumberFormat="1" applyFill="1" applyBorder="1" applyAlignment="1" applyProtection="1">
      <alignment horizontal="left" vertical="center" wrapText="1"/>
      <protection locked="0"/>
    </xf>
    <xf numFmtId="49" fontId="11" fillId="2" borderId="32" xfId="49" applyNumberFormat="1" applyFill="1" applyBorder="1" applyAlignment="1" applyProtection="1">
      <alignment horizontal="left" vertical="center" wrapText="1"/>
      <protection locked="0"/>
    </xf>
    <xf numFmtId="49" fontId="11" fillId="2" borderId="33" xfId="49" applyNumberFormat="1" applyFill="1" applyBorder="1" applyAlignment="1" applyProtection="1">
      <alignment horizontal="left" vertical="center" wrapText="1"/>
      <protection locked="0"/>
    </xf>
    <xf numFmtId="49" fontId="89" fillId="0" borderId="0" xfId="0" applyFont="1" applyAlignment="1">
      <alignment horizontal="center" vertical="top" wrapText="1"/>
    </xf>
    <xf numFmtId="0" fontId="11" fillId="0" borderId="31" xfId="106" applyFont="1" applyBorder="1" applyAlignment="1">
      <alignment horizontal="right" vertical="center" wrapText="1" indent="1"/>
    </xf>
    <xf numFmtId="0" fontId="11" fillId="0" borderId="33" xfId="106" applyFont="1" applyBorder="1" applyAlignment="1">
      <alignment horizontal="right" vertical="center" wrapText="1" indent="1"/>
    </xf>
    <xf numFmtId="0" fontId="11" fillId="0" borderId="63" xfId="106" applyFont="1" applyBorder="1" applyAlignment="1">
      <alignment horizontal="right" vertical="center" wrapText="1" indent="1"/>
    </xf>
    <xf numFmtId="0" fontId="11" fillId="0" borderId="53" xfId="106" applyFont="1" applyBorder="1" applyAlignment="1">
      <alignment horizontal="right" vertical="center" wrapText="1" indent="1"/>
    </xf>
    <xf numFmtId="0" fontId="11" fillId="0" borderId="31" xfId="106" applyFont="1" applyBorder="1" applyAlignment="1">
      <alignment horizontal="right" vertical="center" wrapText="1"/>
    </xf>
    <xf numFmtId="0" fontId="11" fillId="0" borderId="33" xfId="106" applyFont="1" applyBorder="1" applyAlignment="1">
      <alignment horizontal="right" vertical="center" wrapText="1"/>
    </xf>
    <xf numFmtId="0" fontId="11" fillId="0" borderId="61" xfId="106" applyFont="1" applyBorder="1" applyAlignment="1">
      <alignment horizontal="right" vertical="center" wrapText="1" indent="1"/>
    </xf>
    <xf numFmtId="0" fontId="11" fillId="0" borderId="62" xfId="106" applyFont="1" applyBorder="1" applyAlignment="1">
      <alignment horizontal="right" vertical="center" wrapText="1" indent="1"/>
    </xf>
    <xf numFmtId="0" fontId="0" fillId="0" borderId="30" xfId="97" applyFont="1" applyBorder="1" applyAlignment="1">
      <alignment horizontal="right" vertical="center" wrapText="1" indent="1"/>
    </xf>
    <xf numFmtId="0" fontId="0" fillId="0" borderId="30" xfId="98" applyFont="1" applyBorder="1" applyAlignment="1">
      <alignment horizontal="center" vertical="center" textRotation="90" wrapText="1"/>
    </xf>
    <xf numFmtId="0" fontId="11" fillId="0" borderId="31" xfId="106" applyFont="1" applyFill="1" applyBorder="1" applyAlignment="1">
      <alignment horizontal="center" vertical="center" wrapText="1"/>
    </xf>
    <xf numFmtId="0" fontId="11" fillId="0" borderId="32" xfId="106" applyFont="1" applyFill="1" applyBorder="1" applyAlignment="1">
      <alignment horizontal="center" vertical="center" wrapText="1"/>
    </xf>
    <xf numFmtId="0" fontId="11" fillId="0" borderId="33" xfId="106" applyFont="1" applyFill="1" applyBorder="1" applyAlignment="1">
      <alignment horizontal="center" vertical="center" wrapText="1"/>
    </xf>
    <xf numFmtId="0" fontId="0" fillId="0" borderId="7" xfId="106" applyFont="1" applyFill="1" applyBorder="1" applyAlignment="1" applyProtection="1">
      <alignment horizontal="left" vertical="center" wrapText="1"/>
      <protection locked="0"/>
    </xf>
    <xf numFmtId="0" fontId="11" fillId="0" borderId="7" xfId="106" applyFont="1" applyFill="1" applyBorder="1" applyAlignment="1" applyProtection="1">
      <alignment horizontal="left" vertical="center" wrapText="1"/>
      <protection locked="0"/>
    </xf>
    <xf numFmtId="0" fontId="11" fillId="0" borderId="61" xfId="106" applyFont="1" applyFill="1" applyBorder="1" applyAlignment="1">
      <alignment horizontal="right" vertical="center" wrapText="1"/>
    </xf>
    <xf numFmtId="0" fontId="11" fillId="0" borderId="62" xfId="106" applyFont="1" applyFill="1" applyBorder="1" applyAlignment="1">
      <alignment horizontal="right" vertical="center" wrapText="1"/>
    </xf>
    <xf numFmtId="0" fontId="11" fillId="0" borderId="31" xfId="106" applyFont="1" applyFill="1" applyBorder="1" applyAlignment="1">
      <alignment horizontal="right" vertical="center" wrapText="1" indent="1"/>
    </xf>
    <xf numFmtId="0" fontId="11" fillId="0" borderId="33" xfId="106" applyFont="1" applyFill="1" applyBorder="1" applyAlignment="1">
      <alignment horizontal="right" vertical="center" wrapText="1" indent="1"/>
    </xf>
    <xf numFmtId="0" fontId="11" fillId="0" borderId="63" xfId="106" applyFont="1" applyFill="1" applyBorder="1" applyAlignment="1">
      <alignment horizontal="right" vertical="center" wrapText="1" indent="1"/>
    </xf>
    <xf numFmtId="0" fontId="11" fillId="0" borderId="53" xfId="106" applyFont="1" applyFill="1" applyBorder="1" applyAlignment="1">
      <alignment horizontal="right" vertical="center" wrapText="1" indent="1"/>
    </xf>
    <xf numFmtId="0" fontId="11" fillId="0" borderId="30" xfId="106" applyFont="1" applyFill="1" applyBorder="1" applyAlignment="1">
      <alignment horizontal="center" vertical="center" wrapText="1"/>
    </xf>
    <xf numFmtId="0" fontId="11" fillId="0" borderId="43" xfId="106" applyFont="1" applyFill="1" applyBorder="1" applyAlignment="1">
      <alignment horizontal="center" vertical="center" wrapText="1"/>
    </xf>
    <xf numFmtId="0" fontId="11" fillId="0" borderId="47" xfId="106" applyFont="1" applyFill="1" applyBorder="1" applyAlignment="1">
      <alignment horizontal="center" vertical="center" wrapText="1"/>
    </xf>
    <xf numFmtId="49" fontId="11" fillId="0" borderId="43" xfId="106" applyNumberFormat="1" applyFont="1" applyFill="1" applyBorder="1" applyAlignment="1" applyProtection="1">
      <alignment horizontal="left" vertical="center" wrapText="1"/>
      <protection locked="0"/>
    </xf>
    <xf numFmtId="49" fontId="11" fillId="0" borderId="47" xfId="106" applyNumberFormat="1" applyFont="1" applyFill="1" applyBorder="1" applyAlignment="1" applyProtection="1">
      <alignment horizontal="left" vertical="center" wrapText="1"/>
      <protection locked="0"/>
    </xf>
    <xf numFmtId="0" fontId="64" fillId="0" borderId="51" xfId="106" applyFont="1" applyFill="1" applyBorder="1" applyAlignment="1">
      <alignment horizontal="center" vertical="center" wrapText="1"/>
    </xf>
    <xf numFmtId="0" fontId="64" fillId="0" borderId="50" xfId="106" applyFont="1" applyFill="1" applyBorder="1" applyAlignment="1">
      <alignment horizontal="center" vertical="center" wrapText="1"/>
    </xf>
    <xf numFmtId="0" fontId="64" fillId="0" borderId="52" xfId="106" applyFont="1" applyFill="1" applyBorder="1" applyAlignment="1">
      <alignment horizontal="center" vertical="center" wrapText="1"/>
    </xf>
    <xf numFmtId="0" fontId="64" fillId="0" borderId="43" xfId="106" applyFont="1" applyFill="1" applyBorder="1" applyAlignment="1">
      <alignment horizontal="center" vertical="center" wrapText="1"/>
    </xf>
    <xf numFmtId="0" fontId="64" fillId="0" borderId="47" xfId="106" applyFont="1" applyFill="1" applyBorder="1" applyAlignment="1">
      <alignment horizontal="center" vertical="center" wrapText="1"/>
    </xf>
    <xf numFmtId="0" fontId="26" fillId="0" borderId="9" xfId="50" applyFont="1" applyFill="1" applyBorder="1" applyAlignment="1">
      <alignment horizontal="center" vertical="center"/>
    </xf>
    <xf numFmtId="49" fontId="0" fillId="0" borderId="7" xfId="98" applyNumberFormat="1" applyFont="1" applyFill="1" applyBorder="1" applyAlignment="1" applyProtection="1">
      <alignment horizontal="left" vertical="center" wrapText="1"/>
      <protection locked="0"/>
    </xf>
  </cellXfs>
  <cellStyles count="114">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2"/>
    <cellStyle name="Обычный 12 3 2 2 3" xfId="102"/>
    <cellStyle name="Обычный 12 3 2 2 3 2" xfId="111"/>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 4 2" xfId="113"/>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 xmlns:a16="http://schemas.microsoft.com/office/drawing/2014/main"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 xmlns:a16="http://schemas.microsoft.com/office/drawing/2014/main"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 xmlns:a16="http://schemas.microsoft.com/office/drawing/2014/main"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 xmlns:a16="http://schemas.microsoft.com/office/drawing/2014/main"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 xmlns:a16="http://schemas.microsoft.com/office/drawing/2014/main"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 xmlns:a16="http://schemas.microsoft.com/office/drawing/2014/main"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 xmlns:a16="http://schemas.microsoft.com/office/drawing/2014/main"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 xmlns:a16="http://schemas.microsoft.com/office/drawing/2014/main"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 xmlns:a16="http://schemas.microsoft.com/office/drawing/2014/main"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 xmlns:a16="http://schemas.microsoft.com/office/drawing/2014/main"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 xmlns:a16="http://schemas.microsoft.com/office/drawing/2014/main"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 xmlns:a16="http://schemas.microsoft.com/office/drawing/2014/main"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 xmlns:a16="http://schemas.microsoft.com/office/drawing/2014/main"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 xmlns:a16="http://schemas.microsoft.com/office/drawing/2014/main"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 xmlns:a16="http://schemas.microsoft.com/office/drawing/2014/main"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 xmlns:a16="http://schemas.microsoft.com/office/drawing/2014/main"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 xmlns:a16="http://schemas.microsoft.com/office/drawing/2014/main"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 xmlns:a16="http://schemas.microsoft.com/office/drawing/2014/main"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 xmlns:a16="http://schemas.microsoft.com/office/drawing/2014/main"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 xmlns:a16="http://schemas.microsoft.com/office/drawing/2014/main"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 xmlns:a16="http://schemas.microsoft.com/office/drawing/2014/main"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 xmlns:a16="http://schemas.microsoft.com/office/drawing/2014/main"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 xmlns:a16="http://schemas.microsoft.com/office/drawing/2014/main"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 xmlns:a16="http://schemas.microsoft.com/office/drawing/2014/main"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 xmlns:a16="http://schemas.microsoft.com/office/drawing/2014/main"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 xmlns:a16="http://schemas.microsoft.com/office/drawing/2014/main"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 xmlns:a16="http://schemas.microsoft.com/office/drawing/2014/main"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 xmlns:a16="http://schemas.microsoft.com/office/drawing/2014/main"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 xmlns:a16="http://schemas.microsoft.com/office/drawing/2014/main"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 xmlns:a16="http://schemas.microsoft.com/office/drawing/2014/main"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 xmlns:a16="http://schemas.microsoft.com/office/drawing/2014/main"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 xmlns:a16="http://schemas.microsoft.com/office/drawing/2014/main"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 xmlns:a16="http://schemas.microsoft.com/office/drawing/2014/main"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 xmlns:a16="http://schemas.microsoft.com/office/drawing/2014/main"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 xmlns:a16="http://schemas.microsoft.com/office/drawing/2014/main"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 xmlns:a16="http://schemas.microsoft.com/office/drawing/2014/main"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 xmlns:a16="http://schemas.microsoft.com/office/drawing/2014/main"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 xmlns:a16="http://schemas.microsoft.com/office/drawing/2014/main"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 xmlns:a16="http://schemas.microsoft.com/office/drawing/2014/main"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 xmlns:a16="http://schemas.microsoft.com/office/drawing/2014/main"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 xmlns:a16="http://schemas.microsoft.com/office/drawing/2014/main"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 xmlns:a16="http://schemas.microsoft.com/office/drawing/2014/main"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rgb="FFFFCC99"/>
  </sheetPr>
  <dimension ref="A1"/>
  <sheetViews>
    <sheetView workbookViewId="0"/>
  </sheetViews>
  <sheetFormatPr defaultRowHeight="11.4"/>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12"/>
  <sheetViews>
    <sheetView showGridLines="0" zoomScaleNormal="100" workbookViewId="0"/>
  </sheetViews>
  <sheetFormatPr defaultColWidth="9.125" defaultRowHeight="11.4"/>
  <cols>
    <col min="1" max="1" width="30.75" style="40" customWidth="1"/>
    <col min="2" max="2" width="80.75" style="40" customWidth="1"/>
    <col min="3" max="3" width="30.75" style="40" customWidth="1"/>
    <col min="4" max="16384" width="9.125" style="39"/>
  </cols>
  <sheetData>
    <row r="1" spans="1:4" ht="24" customHeight="1" thickBot="1">
      <c r="A1" s="37" t="s">
        <v>171</v>
      </c>
      <c r="B1" s="37" t="s">
        <v>172</v>
      </c>
      <c r="C1" s="37" t="s">
        <v>147</v>
      </c>
      <c r="D1" s="38"/>
    </row>
    <row r="2" spans="1:4" ht="12" thickTop="1"/>
    <row r="3" spans="1:4">
      <c r="A3" s="601">
        <v>45276.55572916667</v>
      </c>
      <c r="B3" s="40" t="s">
        <v>1717</v>
      </c>
      <c r="C3" s="40" t="s">
        <v>1718</v>
      </c>
    </row>
    <row r="4" spans="1:4">
      <c r="A4" s="601">
        <v>45276.555752314816</v>
      </c>
      <c r="B4" s="40" t="s">
        <v>1719</v>
      </c>
      <c r="C4" s="40" t="s">
        <v>1718</v>
      </c>
    </row>
    <row r="5" spans="1:4">
      <c r="A5" s="601">
        <v>45276.556064814817</v>
      </c>
      <c r="B5" s="40" t="s">
        <v>1717</v>
      </c>
      <c r="C5" s="40" t="s">
        <v>1718</v>
      </c>
    </row>
    <row r="6" spans="1:4">
      <c r="A6" s="601">
        <v>45276.556076388886</v>
      </c>
      <c r="B6" s="40" t="s">
        <v>1719</v>
      </c>
      <c r="C6" s="40" t="s">
        <v>1718</v>
      </c>
    </row>
    <row r="7" spans="1:4">
      <c r="A7" s="601">
        <v>45285.675034722219</v>
      </c>
      <c r="B7" s="40" t="s">
        <v>1717</v>
      </c>
      <c r="C7" s="40" t="s">
        <v>1718</v>
      </c>
    </row>
    <row r="8" spans="1:4">
      <c r="A8" s="601">
        <v>45285.675057870372</v>
      </c>
      <c r="B8" s="40" t="s">
        <v>1719</v>
      </c>
      <c r="C8" s="40" t="s">
        <v>1718</v>
      </c>
    </row>
    <row r="9" spans="1:4">
      <c r="A9" s="601">
        <v>45285.725937499999</v>
      </c>
      <c r="B9" s="40" t="s">
        <v>1717</v>
      </c>
      <c r="C9" s="40" t="s">
        <v>1718</v>
      </c>
    </row>
    <row r="10" spans="1:4">
      <c r="A10" s="601">
        <v>45285.725972222222</v>
      </c>
      <c r="B10" s="40" t="s">
        <v>1719</v>
      </c>
      <c r="C10" s="40" t="s">
        <v>1718</v>
      </c>
    </row>
    <row r="11" spans="1:4">
      <c r="A11" s="601">
        <v>45286.388819444444</v>
      </c>
      <c r="B11" s="40" t="s">
        <v>1717</v>
      </c>
      <c r="C11" s="40" t="s">
        <v>1718</v>
      </c>
    </row>
    <row r="12" spans="1:4">
      <c r="A12" s="601">
        <v>45286.388854166667</v>
      </c>
      <c r="B12" s="40" t="s">
        <v>1719</v>
      </c>
      <c r="C12" s="40" t="s">
        <v>1718</v>
      </c>
    </row>
  </sheetData>
  <sheetProtection formatColumns="0" formatRows="0" autoFilter="0"/>
  <phoneticPr fontId="32" type="noConversion"/>
  <pageMargins left="0.75" right="0.75" top="1" bottom="1" header="0.5" footer="0.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ColWidth="9.125" defaultRowHeight="11.4"/>
  <cols>
    <col min="1" max="10" width="0" style="99" hidden="1" customWidth="1"/>
    <col min="11" max="11" width="3.75" style="99" customWidth="1"/>
    <col min="12" max="12" width="6.125" style="99" customWidth="1"/>
    <col min="13" max="13" width="20.75" style="99" customWidth="1"/>
    <col min="14" max="14" width="92.625" style="99" customWidth="1"/>
    <col min="15" max="16384" width="9.125" style="99"/>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297" t="s">
        <v>683</v>
      </c>
      <c r="M12" s="298"/>
      <c r="N12" s="298"/>
    </row>
    <row r="14" spans="12:14" s="294" customFormat="1" ht="30" customHeight="1">
      <c r="L14" s="249" t="s">
        <v>16</v>
      </c>
      <c r="M14" s="249" t="s">
        <v>684</v>
      </c>
      <c r="N14" s="249" t="s">
        <v>685</v>
      </c>
    </row>
    <row r="15" spans="12:14" ht="34.200000000000003">
      <c r="L15" s="249">
        <v>1</v>
      </c>
      <c r="M15" s="299" t="s">
        <v>510</v>
      </c>
      <c r="N15" s="299" t="s">
        <v>686</v>
      </c>
    </row>
    <row r="16" spans="12:14" ht="69" customHeight="1">
      <c r="L16" s="249">
        <v>2</v>
      </c>
      <c r="M16" s="299" t="s">
        <v>511</v>
      </c>
      <c r="N16" s="299" t="s">
        <v>1168</v>
      </c>
    </row>
  </sheetData>
  <sheetProtection formatColumns="0" formatRows="0" autoFilter="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2"/>
  <sheetViews>
    <sheetView showGridLines="0" view="pageBreakPreview" topLeftCell="K11" zoomScale="60" zoomScaleNormal="100" workbookViewId="0"/>
  </sheetViews>
  <sheetFormatPr defaultColWidth="9.125" defaultRowHeight="13.2"/>
  <cols>
    <col min="1" max="10" width="0" style="420" hidden="1" customWidth="1"/>
    <col min="11" max="11" width="3.75" style="420" customWidth="1"/>
    <col min="12" max="12" width="11.75" style="420" customWidth="1"/>
    <col min="13" max="13" width="32.875" style="420" customWidth="1"/>
    <col min="14" max="14" width="116.125" style="420" customWidth="1"/>
    <col min="15" max="15" width="9.125" style="421" customWidth="1"/>
    <col min="16" max="16384" width="9.125" style="420"/>
  </cols>
  <sheetData>
    <row r="1" spans="12:15" hidden="1">
      <c r="L1" s="421"/>
      <c r="M1" s="421"/>
      <c r="N1" s="421"/>
    </row>
    <row r="2" spans="12:15" hidden="1">
      <c r="L2" s="421"/>
      <c r="M2" s="421"/>
      <c r="N2" s="421"/>
    </row>
    <row r="3" spans="12:15" hidden="1">
      <c r="L3" s="421"/>
      <c r="M3" s="421"/>
      <c r="N3" s="421"/>
    </row>
    <row r="4" spans="12:15" hidden="1">
      <c r="L4" s="421"/>
      <c r="M4" s="421"/>
      <c r="N4" s="421"/>
    </row>
    <row r="5" spans="12:15" hidden="1">
      <c r="L5" s="421"/>
      <c r="M5" s="421"/>
      <c r="N5" s="421"/>
    </row>
    <row r="6" spans="12:15" hidden="1">
      <c r="L6" s="421"/>
      <c r="M6" s="421"/>
      <c r="N6" s="421"/>
    </row>
    <row r="7" spans="12:15" hidden="1">
      <c r="L7" s="421"/>
      <c r="M7" s="421"/>
      <c r="N7" s="421"/>
    </row>
    <row r="8" spans="12:15" hidden="1">
      <c r="L8" s="421"/>
      <c r="M8" s="421"/>
      <c r="N8" s="421"/>
    </row>
    <row r="9" spans="12:15" hidden="1">
      <c r="L9" s="421"/>
      <c r="M9" s="421"/>
      <c r="N9" s="421"/>
    </row>
    <row r="10" spans="12:15" hidden="1">
      <c r="L10" s="421"/>
      <c r="M10" s="421"/>
      <c r="N10" s="421"/>
    </row>
    <row r="11" spans="12:15">
      <c r="L11" s="421"/>
      <c r="M11" s="421"/>
      <c r="N11" s="421"/>
    </row>
    <row r="12" spans="12:15" ht="24.9" customHeight="1">
      <c r="L12" s="422" t="s">
        <v>1223</v>
      </c>
      <c r="M12" s="423"/>
      <c r="N12" s="423"/>
    </row>
    <row r="13" spans="12:15" ht="16.5" customHeight="1">
      <c r="L13" s="604" t="s">
        <v>1260</v>
      </c>
      <c r="M13" s="421"/>
      <c r="N13" s="421"/>
    </row>
    <row r="14" spans="12:15" ht="27.9" customHeight="1">
      <c r="L14" s="605" t="s">
        <v>1220</v>
      </c>
      <c r="M14" s="606" t="s">
        <v>1081</v>
      </c>
      <c r="N14" s="607" t="s">
        <v>1259</v>
      </c>
      <c r="O14" s="424"/>
    </row>
    <row r="15" spans="12:15" ht="27.9" customHeight="1">
      <c r="L15" s="605" t="s">
        <v>1220</v>
      </c>
      <c r="M15" s="606" t="s">
        <v>1221</v>
      </c>
      <c r="N15" s="607" t="s">
        <v>1239</v>
      </c>
      <c r="O15" s="424"/>
    </row>
    <row r="16" spans="12:15" ht="27.9" customHeight="1">
      <c r="L16" s="605" t="s">
        <v>1220</v>
      </c>
      <c r="M16" s="606" t="s">
        <v>1224</v>
      </c>
      <c r="N16" s="607" t="s">
        <v>1258</v>
      </c>
      <c r="O16" s="424"/>
    </row>
    <row r="17" spans="12:15" ht="27.9" customHeight="1">
      <c r="L17" s="605" t="s">
        <v>1220</v>
      </c>
      <c r="M17" s="606" t="s">
        <v>1225</v>
      </c>
      <c r="N17" s="607" t="s">
        <v>1242</v>
      </c>
      <c r="O17" s="424"/>
    </row>
    <row r="18" spans="12:15" ht="27.9" customHeight="1">
      <c r="L18" s="605" t="s">
        <v>1220</v>
      </c>
      <c r="M18" s="606" t="s">
        <v>1226</v>
      </c>
      <c r="N18" s="607" t="s">
        <v>1243</v>
      </c>
      <c r="O18" s="424"/>
    </row>
    <row r="19" spans="12:15" ht="27.9" customHeight="1">
      <c r="L19" s="605" t="s">
        <v>1220</v>
      </c>
      <c r="M19" s="606" t="s">
        <v>1227</v>
      </c>
      <c r="N19" s="607" t="s">
        <v>1244</v>
      </c>
      <c r="O19" s="424"/>
    </row>
    <row r="20" spans="12:15" ht="27.9" customHeight="1">
      <c r="L20" s="605" t="s">
        <v>1220</v>
      </c>
      <c r="M20" s="606" t="s">
        <v>1228</v>
      </c>
      <c r="N20" s="607" t="s">
        <v>1245</v>
      </c>
      <c r="O20" s="424"/>
    </row>
    <row r="21" spans="12:15" ht="27.9" customHeight="1">
      <c r="L21" s="605" t="s">
        <v>1220</v>
      </c>
      <c r="M21" s="606" t="s">
        <v>1222</v>
      </c>
      <c r="N21" s="607" t="s">
        <v>1246</v>
      </c>
      <c r="O21" s="424"/>
    </row>
    <row r="22" spans="12:15" ht="27.9" customHeight="1">
      <c r="L22" s="605" t="s">
        <v>1220</v>
      </c>
      <c r="M22" s="606" t="s">
        <v>283</v>
      </c>
      <c r="N22" s="607" t="s">
        <v>1247</v>
      </c>
      <c r="O22" s="424"/>
    </row>
    <row r="23" spans="12:15" ht="27.9" customHeight="1">
      <c r="L23" s="605" t="s">
        <v>1220</v>
      </c>
      <c r="M23" s="606" t="s">
        <v>1229</v>
      </c>
      <c r="N23" s="607" t="s">
        <v>1248</v>
      </c>
      <c r="O23" s="424"/>
    </row>
    <row r="24" spans="12:15" ht="27.9" customHeight="1">
      <c r="L24" s="605" t="s">
        <v>1220</v>
      </c>
      <c r="M24" s="606" t="s">
        <v>1230</v>
      </c>
      <c r="N24" s="607" t="s">
        <v>1249</v>
      </c>
      <c r="O24" s="424"/>
    </row>
    <row r="25" spans="12:15" ht="27.9" customHeight="1">
      <c r="L25" s="605" t="s">
        <v>1220</v>
      </c>
      <c r="M25" s="606" t="s">
        <v>1231</v>
      </c>
      <c r="N25" s="607" t="s">
        <v>1250</v>
      </c>
      <c r="O25" s="424"/>
    </row>
    <row r="26" spans="12:15" ht="27.9" customHeight="1">
      <c r="L26" s="605" t="s">
        <v>1220</v>
      </c>
      <c r="M26" s="606" t="s">
        <v>1232</v>
      </c>
      <c r="N26" s="607" t="s">
        <v>1251</v>
      </c>
      <c r="O26" s="424"/>
    </row>
    <row r="27" spans="12:15" ht="27.9" customHeight="1">
      <c r="L27" s="605" t="s">
        <v>1220</v>
      </c>
      <c r="M27" s="606" t="s">
        <v>1233</v>
      </c>
      <c r="N27" s="607" t="s">
        <v>1252</v>
      </c>
      <c r="O27" s="424"/>
    </row>
    <row r="28" spans="12:15" ht="27.9" customHeight="1">
      <c r="L28" s="605" t="s">
        <v>1220</v>
      </c>
      <c r="M28" s="606" t="s">
        <v>1234</v>
      </c>
      <c r="N28" s="607" t="s">
        <v>1253</v>
      </c>
      <c r="O28" s="424"/>
    </row>
    <row r="29" spans="12:15" ht="27.9" customHeight="1">
      <c r="L29" s="605" t="s">
        <v>1220</v>
      </c>
      <c r="M29" s="606" t="s">
        <v>1235</v>
      </c>
      <c r="N29" s="607" t="s">
        <v>1254</v>
      </c>
      <c r="O29" s="424"/>
    </row>
    <row r="30" spans="12:15" ht="27.9" customHeight="1">
      <c r="L30" s="605" t="s">
        <v>1220</v>
      </c>
      <c r="M30" s="606" t="s">
        <v>1236</v>
      </c>
      <c r="N30" s="607" t="s">
        <v>1255</v>
      </c>
      <c r="O30" s="424"/>
    </row>
    <row r="31" spans="12:15" ht="27.9" customHeight="1">
      <c r="L31" s="605" t="s">
        <v>1220</v>
      </c>
      <c r="M31" s="606" t="s">
        <v>1237</v>
      </c>
      <c r="N31" s="607" t="s">
        <v>1256</v>
      </c>
      <c r="O31" s="424"/>
    </row>
    <row r="32" spans="12:15" ht="27.9" customHeight="1">
      <c r="L32" s="605" t="s">
        <v>1220</v>
      </c>
      <c r="M32" s="606" t="s">
        <v>1238</v>
      </c>
      <c r="N32" s="607" t="s">
        <v>1257</v>
      </c>
      <c r="O32" s="424"/>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55"/>
  <sheetViews>
    <sheetView showGridLines="0" view="pageBreakPreview" topLeftCell="D25" zoomScale="80" zoomScaleNormal="100" zoomScaleSheetLayoutView="80" workbookViewId="0">
      <selection activeCell="H163" sqref="H163"/>
    </sheetView>
  </sheetViews>
  <sheetFormatPr defaultColWidth="9.125" defaultRowHeight="11.4"/>
  <cols>
    <col min="1" max="3" width="10.75" style="52" hidden="1" customWidth="1"/>
    <col min="4" max="4" width="3.75" style="52" customWidth="1"/>
    <col min="5" max="5" width="12.75" style="87" customWidth="1"/>
    <col min="6" max="6" width="18.75" style="87" customWidth="1"/>
    <col min="7" max="7" width="57.625" style="87" customWidth="1"/>
    <col min="8" max="8" width="48.75" style="87" customWidth="1"/>
    <col min="9" max="9" width="3.75" style="52" customWidth="1"/>
    <col min="10" max="10" width="22.75" style="52" hidden="1" customWidth="1"/>
    <col min="11" max="14" width="16.75" style="52" hidden="1" customWidth="1"/>
    <col min="15" max="16" width="9.125" style="52" customWidth="1"/>
    <col min="17" max="16384" width="9.125" style="52"/>
  </cols>
  <sheetData>
    <row r="1" spans="1:16" hidden="1">
      <c r="A1" s="609"/>
      <c r="B1" s="609"/>
      <c r="C1" s="609"/>
      <c r="D1" s="609"/>
      <c r="E1" s="610"/>
      <c r="F1" s="610"/>
      <c r="G1" s="610"/>
      <c r="H1" s="610"/>
      <c r="I1" s="609"/>
      <c r="J1" s="609"/>
      <c r="K1" s="609"/>
      <c r="L1" s="609"/>
      <c r="M1" s="609"/>
      <c r="N1" s="609"/>
      <c r="O1" s="609"/>
      <c r="P1" s="609"/>
    </row>
    <row r="2" spans="1:16" hidden="1">
      <c r="A2" s="609"/>
      <c r="B2" s="609"/>
      <c r="C2" s="609"/>
      <c r="D2" s="609"/>
      <c r="E2" s="610"/>
      <c r="F2" s="610"/>
      <c r="G2" s="610"/>
      <c r="H2" s="610"/>
      <c r="I2" s="609"/>
      <c r="J2" s="609"/>
      <c r="K2" s="609"/>
      <c r="L2" s="609"/>
      <c r="M2" s="609"/>
      <c r="N2" s="609"/>
      <c r="O2" s="609"/>
      <c r="P2" s="609"/>
    </row>
    <row r="3" spans="1:16" hidden="1">
      <c r="A3" s="609"/>
      <c r="B3" s="609"/>
      <c r="C3" s="609"/>
      <c r="D3" s="609"/>
      <c r="E3" s="610"/>
      <c r="F3" s="610"/>
      <c r="G3" s="610"/>
      <c r="H3" s="610"/>
      <c r="I3" s="609"/>
      <c r="J3" s="609"/>
      <c r="K3" s="609"/>
      <c r="L3" s="609"/>
      <c r="M3" s="609"/>
      <c r="N3" s="609"/>
      <c r="O3" s="609"/>
      <c r="P3" s="609"/>
    </row>
    <row r="4" spans="1:16" hidden="1">
      <c r="A4" s="609"/>
      <c r="B4" s="609"/>
      <c r="C4" s="609"/>
      <c r="D4" s="609"/>
      <c r="E4" s="610"/>
      <c r="F4" s="610"/>
      <c r="G4" s="610"/>
      <c r="H4" s="610"/>
      <c r="I4" s="609"/>
      <c r="J4" s="609"/>
      <c r="K4" s="609"/>
      <c r="L4" s="609"/>
      <c r="M4" s="609"/>
      <c r="N4" s="609"/>
      <c r="O4" s="609"/>
      <c r="P4" s="609"/>
    </row>
    <row r="5" spans="1:16" hidden="1">
      <c r="A5" s="609"/>
      <c r="B5" s="609"/>
      <c r="C5" s="609"/>
      <c r="D5" s="609"/>
      <c r="E5" s="610"/>
      <c r="F5" s="610"/>
      <c r="G5" s="610"/>
      <c r="H5" s="610"/>
      <c r="I5" s="609"/>
      <c r="J5" s="609"/>
      <c r="K5" s="609"/>
      <c r="L5" s="609"/>
      <c r="M5" s="609"/>
      <c r="N5" s="609"/>
      <c r="O5" s="609"/>
      <c r="P5" s="609"/>
    </row>
    <row r="6" spans="1:16">
      <c r="A6" s="609"/>
      <c r="B6" s="609"/>
      <c r="C6" s="609"/>
      <c r="D6" s="609"/>
      <c r="E6" s="610"/>
      <c r="F6" s="610"/>
      <c r="G6" s="610"/>
      <c r="H6" s="610"/>
      <c r="I6" s="609"/>
      <c r="J6" s="609"/>
      <c r="K6" s="609"/>
      <c r="L6" s="609"/>
      <c r="M6" s="609"/>
      <c r="N6" s="609"/>
      <c r="O6" s="609"/>
      <c r="P6" s="609"/>
    </row>
    <row r="7" spans="1:16" ht="20.399999999999999">
      <c r="A7" s="609"/>
      <c r="B7" s="609"/>
      <c r="C7" s="608"/>
      <c r="D7" s="609"/>
      <c r="E7" s="1066" t="s">
        <v>105</v>
      </c>
      <c r="F7" s="1067"/>
      <c r="G7" s="1068"/>
      <c r="H7" s="611" t="s">
        <v>19</v>
      </c>
      <c r="I7" s="612" t="s">
        <v>809</v>
      </c>
      <c r="J7" s="609"/>
      <c r="K7" s="609"/>
      <c r="L7" s="609"/>
      <c r="M7" s="609"/>
      <c r="N7" s="609"/>
      <c r="O7" s="609"/>
      <c r="P7" s="609"/>
    </row>
    <row r="8" spans="1:16" ht="20.399999999999999">
      <c r="A8" s="609"/>
      <c r="B8" s="609"/>
      <c r="C8" s="608"/>
      <c r="D8" s="609"/>
      <c r="E8" s="1066" t="s">
        <v>106</v>
      </c>
      <c r="F8" s="1067"/>
      <c r="G8" s="1068"/>
      <c r="H8" s="613">
        <v>2024</v>
      </c>
      <c r="I8" s="614"/>
      <c r="J8" s="609"/>
      <c r="K8" s="609"/>
      <c r="L8" s="609"/>
      <c r="M8" s="609"/>
      <c r="N8" s="609"/>
      <c r="O8" s="609"/>
      <c r="P8" s="609"/>
    </row>
    <row r="9" spans="1:16" ht="20.399999999999999">
      <c r="A9" s="609"/>
      <c r="B9" s="609"/>
      <c r="C9" s="608"/>
      <c r="D9" s="609"/>
      <c r="E9" s="1066" t="s">
        <v>899</v>
      </c>
      <c r="F9" s="1067"/>
      <c r="G9" s="1068"/>
      <c r="H9" s="613">
        <v>2020</v>
      </c>
      <c r="I9" s="614">
        <v>2024</v>
      </c>
      <c r="J9" s="608">
        <v>2024</v>
      </c>
      <c r="K9" s="609"/>
      <c r="L9" s="609"/>
      <c r="M9" s="609"/>
      <c r="N9" s="609"/>
      <c r="O9" s="609"/>
      <c r="P9" s="609"/>
    </row>
    <row r="10" spans="1:16" ht="20.399999999999999">
      <c r="A10" s="609"/>
      <c r="B10" s="609"/>
      <c r="C10" s="608"/>
      <c r="D10" s="609"/>
      <c r="E10" s="1066" t="s">
        <v>251</v>
      </c>
      <c r="F10" s="1067"/>
      <c r="G10" s="1068"/>
      <c r="H10" s="613">
        <v>5</v>
      </c>
      <c r="I10" s="614"/>
      <c r="J10" s="609"/>
      <c r="K10" s="609"/>
      <c r="L10" s="609"/>
      <c r="M10" s="609"/>
      <c r="N10" s="609"/>
      <c r="O10" s="609"/>
      <c r="P10" s="609"/>
    </row>
    <row r="11" spans="1:16" ht="20.399999999999999">
      <c r="A11" s="609"/>
      <c r="B11" s="609"/>
      <c r="C11" s="608"/>
      <c r="D11" s="609"/>
      <c r="E11" s="1066" t="s">
        <v>1174</v>
      </c>
      <c r="F11" s="1067"/>
      <c r="G11" s="1068"/>
      <c r="H11" s="613">
        <v>1</v>
      </c>
      <c r="I11" s="614"/>
      <c r="J11" s="609"/>
      <c r="K11" s="609"/>
      <c r="L11" s="609"/>
      <c r="M11" s="609"/>
      <c r="N11" s="609"/>
      <c r="O11" s="609"/>
      <c r="P11" s="609"/>
    </row>
    <row r="12" spans="1:16" ht="6.9" customHeight="1">
      <c r="A12" s="609"/>
      <c r="B12" s="609"/>
      <c r="C12" s="608"/>
      <c r="D12" s="609"/>
      <c r="E12" s="610"/>
      <c r="F12" s="610"/>
      <c r="G12" s="610"/>
      <c r="H12" s="610"/>
      <c r="I12" s="612"/>
      <c r="J12" s="609"/>
      <c r="K12" s="609"/>
      <c r="L12" s="609"/>
      <c r="M12" s="609"/>
      <c r="N12" s="609"/>
      <c r="O12" s="609"/>
      <c r="P12" s="609"/>
    </row>
    <row r="13" spans="1:16" ht="6.9" customHeight="1">
      <c r="A13" s="609"/>
      <c r="B13" s="609"/>
      <c r="C13" s="608"/>
      <c r="D13" s="609"/>
      <c r="E13" s="610"/>
      <c r="F13" s="610"/>
      <c r="G13" s="610"/>
      <c r="H13" s="610"/>
      <c r="I13" s="612"/>
      <c r="J13" s="609"/>
      <c r="K13" s="609"/>
      <c r="L13" s="609"/>
      <c r="M13" s="609"/>
      <c r="N13" s="609"/>
      <c r="O13" s="609"/>
      <c r="P13" s="609"/>
    </row>
    <row r="14" spans="1:16" ht="20.399999999999999">
      <c r="A14" s="609"/>
      <c r="B14" s="609"/>
      <c r="C14" s="608"/>
      <c r="D14" s="609"/>
      <c r="E14" s="1091" t="s">
        <v>186</v>
      </c>
      <c r="F14" s="1091"/>
      <c r="G14" s="1091"/>
      <c r="H14" s="1091"/>
      <c r="I14" s="615"/>
      <c r="J14" s="616"/>
      <c r="K14" s="616"/>
      <c r="L14" s="616"/>
      <c r="M14" s="616"/>
      <c r="N14" s="616"/>
      <c r="O14" s="616"/>
      <c r="P14" s="616"/>
    </row>
    <row r="15" spans="1:16" ht="20.399999999999999">
      <c r="A15" s="609"/>
      <c r="B15" s="609"/>
      <c r="C15" s="608"/>
      <c r="D15" s="609"/>
      <c r="E15" s="1092" t="s">
        <v>890</v>
      </c>
      <c r="F15" s="1092"/>
      <c r="G15" s="1092"/>
      <c r="H15" s="1092"/>
      <c r="I15" s="615"/>
      <c r="J15" s="616"/>
      <c r="K15" s="616"/>
      <c r="L15" s="616"/>
      <c r="M15" s="616"/>
      <c r="N15" s="616"/>
      <c r="O15" s="616"/>
      <c r="P15" s="616"/>
    </row>
    <row r="16" spans="1:16" ht="20.399999999999999">
      <c r="A16" s="609"/>
      <c r="B16" s="609"/>
      <c r="C16" s="608"/>
      <c r="D16" s="609"/>
      <c r="E16" s="1091" t="s">
        <v>187</v>
      </c>
      <c r="F16" s="1091"/>
      <c r="G16" s="1091"/>
      <c r="H16" s="1091"/>
      <c r="I16" s="615"/>
      <c r="J16" s="616"/>
      <c r="K16" s="616"/>
      <c r="L16" s="616"/>
      <c r="M16" s="616"/>
      <c r="N16" s="616"/>
      <c r="O16" s="616"/>
      <c r="P16" s="616"/>
    </row>
    <row r="17" spans="1:16" ht="20.399999999999999">
      <c r="A17" s="609"/>
      <c r="B17" s="609"/>
      <c r="C17" s="608"/>
      <c r="D17" s="609">
        <v>31529732</v>
      </c>
      <c r="E17" s="1093" t="s">
        <v>1730</v>
      </c>
      <c r="F17" s="1093"/>
      <c r="G17" s="1093"/>
      <c r="H17" s="1093"/>
      <c r="I17" s="617"/>
      <c r="J17" s="616"/>
      <c r="K17" s="616"/>
      <c r="L17" s="616"/>
      <c r="M17" s="616"/>
      <c r="N17" s="616"/>
      <c r="O17" s="609" t="s">
        <v>2997</v>
      </c>
      <c r="P17" s="616"/>
    </row>
    <row r="18" spans="1:16" ht="20.399999999999999">
      <c r="A18" s="609"/>
      <c r="B18" s="609"/>
      <c r="C18" s="608"/>
      <c r="D18" s="609"/>
      <c r="E18" s="1094" t="s">
        <v>2998</v>
      </c>
      <c r="F18" s="1094"/>
      <c r="G18" s="1094"/>
      <c r="H18" s="1094"/>
      <c r="I18" s="617"/>
      <c r="J18" s="616"/>
      <c r="K18" s="616"/>
      <c r="L18" s="616"/>
      <c r="M18" s="616"/>
      <c r="N18" s="616"/>
      <c r="O18" s="616"/>
      <c r="P18" s="616"/>
    </row>
    <row r="19" spans="1:16" ht="20.399999999999999">
      <c r="A19" s="609"/>
      <c r="B19" s="609"/>
      <c r="C19" s="608"/>
      <c r="D19" s="609"/>
      <c r="E19" s="1095" t="s">
        <v>2999</v>
      </c>
      <c r="F19" s="1095"/>
      <c r="G19" s="1095"/>
      <c r="H19" s="1095"/>
      <c r="I19" s="618"/>
      <c r="J19" s="616"/>
      <c r="K19" s="616"/>
      <c r="L19" s="616"/>
      <c r="M19" s="616"/>
      <c r="N19" s="616"/>
      <c r="O19" s="616"/>
      <c r="P19" s="616"/>
    </row>
    <row r="20" spans="1:16" ht="11.25" customHeight="1">
      <c r="A20" s="609"/>
      <c r="B20" s="609"/>
      <c r="C20" s="608"/>
      <c r="D20" s="609"/>
      <c r="E20" s="1096"/>
      <c r="F20" s="1097"/>
      <c r="G20" s="1097"/>
      <c r="H20" s="1098"/>
      <c r="I20" s="619"/>
      <c r="J20" s="620"/>
      <c r="K20" s="621"/>
      <c r="L20" s="1087"/>
      <c r="M20" s="1087"/>
      <c r="N20" s="621"/>
      <c r="O20" s="620"/>
      <c r="P20" s="620"/>
    </row>
    <row r="21" spans="1:16" ht="20.399999999999999">
      <c r="A21" s="609"/>
      <c r="B21" s="609"/>
      <c r="C21" s="608"/>
      <c r="D21" s="609"/>
      <c r="E21" s="1088" t="s">
        <v>1218</v>
      </c>
      <c r="F21" s="1088"/>
      <c r="G21" s="1088"/>
      <c r="H21" s="1088"/>
      <c r="I21" s="622"/>
      <c r="J21" s="623"/>
      <c r="K21" s="623"/>
      <c r="L21" s="623"/>
      <c r="M21" s="623"/>
      <c r="N21" s="623"/>
      <c r="O21" s="624"/>
      <c r="P21" s="624"/>
    </row>
    <row r="22" spans="1:16" ht="24.6">
      <c r="A22" s="609"/>
      <c r="B22" s="609"/>
      <c r="C22" s="608"/>
      <c r="D22" s="609"/>
      <c r="E22" s="1081" t="s">
        <v>188</v>
      </c>
      <c r="F22" s="1081"/>
      <c r="G22" s="1081"/>
      <c r="H22" s="625" t="s">
        <v>2902</v>
      </c>
      <c r="I22" s="626"/>
      <c r="J22" s="624"/>
      <c r="K22" s="624"/>
      <c r="L22" s="624"/>
      <c r="M22" s="609"/>
      <c r="N22" s="609"/>
      <c r="O22" s="609"/>
      <c r="P22" s="609"/>
    </row>
    <row r="23" spans="1:16" ht="24.6">
      <c r="A23" s="609"/>
      <c r="B23" s="609"/>
      <c r="C23" s="608"/>
      <c r="D23" s="609"/>
      <c r="E23" s="1081" t="s">
        <v>189</v>
      </c>
      <c r="F23" s="1081"/>
      <c r="G23" s="1081"/>
      <c r="H23" s="625" t="s">
        <v>2903</v>
      </c>
      <c r="I23" s="626"/>
      <c r="J23" s="609"/>
      <c r="K23" s="609"/>
      <c r="L23" s="609"/>
      <c r="M23" s="609"/>
      <c r="N23" s="609"/>
      <c r="O23" s="609"/>
      <c r="P23" s="609"/>
    </row>
    <row r="24" spans="1:16" ht="20.399999999999999">
      <c r="A24" s="609"/>
      <c r="B24" s="609"/>
      <c r="C24" s="609"/>
      <c r="D24" s="609"/>
      <c r="E24" s="1081" t="s">
        <v>190</v>
      </c>
      <c r="F24" s="1081"/>
      <c r="G24" s="1081"/>
      <c r="H24" s="627"/>
      <c r="I24" s="628"/>
      <c r="J24" s="609"/>
      <c r="K24" s="609"/>
      <c r="L24" s="609"/>
      <c r="M24" s="609"/>
      <c r="N24" s="609"/>
      <c r="O24" s="609"/>
      <c r="P24" s="609"/>
    </row>
    <row r="25" spans="1:16" ht="20.399999999999999">
      <c r="A25" s="609"/>
      <c r="B25" s="609"/>
      <c r="C25" s="608"/>
      <c r="D25" s="609"/>
      <c r="E25" s="1081" t="s">
        <v>191</v>
      </c>
      <c r="F25" s="1081"/>
      <c r="G25" s="1081"/>
      <c r="H25" s="629" t="s">
        <v>2904</v>
      </c>
      <c r="I25" s="628"/>
      <c r="J25" s="609"/>
      <c r="K25" s="609"/>
      <c r="L25" s="609"/>
      <c r="M25" s="609"/>
      <c r="N25" s="609"/>
      <c r="O25" s="609"/>
      <c r="P25" s="609"/>
    </row>
    <row r="26" spans="1:16" ht="20.399999999999999">
      <c r="A26" s="609"/>
      <c r="B26" s="609"/>
      <c r="C26" s="608"/>
      <c r="D26" s="609"/>
      <c r="E26" s="1081" t="s">
        <v>107</v>
      </c>
      <c r="F26" s="1081"/>
      <c r="G26" s="1081"/>
      <c r="H26" s="630" t="s">
        <v>1731</v>
      </c>
      <c r="I26" s="628"/>
      <c r="J26" s="609"/>
      <c r="K26" s="609"/>
      <c r="L26" s="609"/>
      <c r="M26" s="609"/>
      <c r="N26" s="609"/>
      <c r="O26" s="609"/>
      <c r="P26" s="609"/>
    </row>
    <row r="27" spans="1:16" ht="20.399999999999999">
      <c r="A27" s="609"/>
      <c r="B27" s="609"/>
      <c r="C27" s="608"/>
      <c r="D27" s="609"/>
      <c r="E27" s="1081" t="s">
        <v>108</v>
      </c>
      <c r="F27" s="1081"/>
      <c r="G27" s="1081"/>
      <c r="H27" s="630" t="s">
        <v>1732</v>
      </c>
      <c r="I27" s="628"/>
      <c r="J27" s="609"/>
      <c r="K27" s="609"/>
      <c r="L27" s="609"/>
      <c r="M27" s="609"/>
      <c r="N27" s="609"/>
      <c r="O27" s="609"/>
      <c r="P27" s="609"/>
    </row>
    <row r="28" spans="1:16" ht="20.399999999999999">
      <c r="A28" s="609"/>
      <c r="B28" s="609"/>
      <c r="C28" s="608"/>
      <c r="D28" s="609"/>
      <c r="E28" s="1081" t="s">
        <v>192</v>
      </c>
      <c r="F28" s="1081"/>
      <c r="G28" s="1081"/>
      <c r="H28" s="631"/>
      <c r="I28" s="628"/>
      <c r="J28" s="609" t="s">
        <v>1591</v>
      </c>
      <c r="K28" s="609"/>
      <c r="L28" s="609"/>
      <c r="M28" s="609"/>
      <c r="N28" s="609"/>
      <c r="O28" s="609"/>
      <c r="P28" s="609"/>
    </row>
    <row r="29" spans="1:16" ht="20.399999999999999">
      <c r="A29" s="609"/>
      <c r="B29" s="609"/>
      <c r="C29" s="608"/>
      <c r="D29" s="609"/>
      <c r="E29" s="1081" t="s">
        <v>193</v>
      </c>
      <c r="F29" s="1081"/>
      <c r="G29" s="1081"/>
      <c r="H29" s="632" t="s">
        <v>904</v>
      </c>
      <c r="I29" s="628"/>
      <c r="J29" s="609" t="s">
        <v>1592</v>
      </c>
      <c r="K29" s="609"/>
      <c r="L29" s="609"/>
      <c r="M29" s="609"/>
      <c r="N29" s="609"/>
      <c r="O29" s="609"/>
      <c r="P29" s="609"/>
    </row>
    <row r="30" spans="1:16" ht="22.8">
      <c r="A30" s="609"/>
      <c r="B30" s="609"/>
      <c r="C30" s="608"/>
      <c r="D30" s="609"/>
      <c r="E30" s="1081" t="s">
        <v>194</v>
      </c>
      <c r="F30" s="1081"/>
      <c r="G30" s="1081"/>
      <c r="H30" s="627" t="s">
        <v>2899</v>
      </c>
      <c r="I30" s="617"/>
      <c r="J30" s="609" t="s">
        <v>1593</v>
      </c>
      <c r="K30" s="609"/>
      <c r="L30" s="609"/>
      <c r="M30" s="609"/>
      <c r="N30" s="609"/>
      <c r="O30" s="609"/>
      <c r="P30" s="609"/>
    </row>
    <row r="31" spans="1:16" ht="20.399999999999999">
      <c r="A31" s="609"/>
      <c r="B31" s="609"/>
      <c r="C31" s="608"/>
      <c r="D31" s="609"/>
      <c r="E31" s="1081" t="s">
        <v>195</v>
      </c>
      <c r="F31" s="1081"/>
      <c r="G31" s="1081"/>
      <c r="H31" s="627" t="s">
        <v>2933</v>
      </c>
      <c r="I31" s="617"/>
      <c r="J31" s="609" t="s">
        <v>1594</v>
      </c>
      <c r="K31" s="609"/>
      <c r="L31" s="609"/>
      <c r="M31" s="609"/>
      <c r="N31" s="609"/>
      <c r="O31" s="609"/>
      <c r="P31" s="609"/>
    </row>
    <row r="32" spans="1:16" ht="20.399999999999999">
      <c r="A32" s="609"/>
      <c r="B32" s="609"/>
      <c r="C32" s="608"/>
      <c r="D32" s="609"/>
      <c r="E32" s="1081" t="s">
        <v>196</v>
      </c>
      <c r="F32" s="1081"/>
      <c r="G32" s="1081"/>
      <c r="H32" s="627" t="s">
        <v>2934</v>
      </c>
      <c r="I32" s="617"/>
      <c r="J32" s="609" t="s">
        <v>1597</v>
      </c>
      <c r="K32" s="609"/>
      <c r="L32" s="609"/>
      <c r="M32" s="609"/>
      <c r="N32" s="609"/>
      <c r="O32" s="609"/>
      <c r="P32" s="609"/>
    </row>
    <row r="33" spans="1:16" ht="20.399999999999999">
      <c r="A33" s="609"/>
      <c r="B33" s="609"/>
      <c r="C33" s="608"/>
      <c r="D33" s="609"/>
      <c r="E33" s="1081" t="s">
        <v>148</v>
      </c>
      <c r="F33" s="1081"/>
      <c r="G33" s="1081"/>
      <c r="H33" s="627" t="s">
        <v>2935</v>
      </c>
      <c r="I33" s="617"/>
      <c r="J33" s="609" t="s">
        <v>1628</v>
      </c>
      <c r="K33" s="609"/>
      <c r="L33" s="609"/>
      <c r="M33" s="609"/>
      <c r="N33" s="609"/>
      <c r="O33" s="609"/>
      <c r="P33" s="609"/>
    </row>
    <row r="34" spans="1:16" ht="20.399999999999999">
      <c r="A34" s="609"/>
      <c r="B34" s="609"/>
      <c r="C34" s="608"/>
      <c r="D34" s="609"/>
      <c r="E34" s="1081" t="s">
        <v>197</v>
      </c>
      <c r="F34" s="1081"/>
      <c r="G34" s="1081"/>
      <c r="H34" s="627" t="s">
        <v>2900</v>
      </c>
      <c r="I34" s="617"/>
      <c r="J34" s="609" t="s">
        <v>1629</v>
      </c>
      <c r="K34" s="609"/>
      <c r="L34" s="609"/>
      <c r="M34" s="609"/>
      <c r="N34" s="609"/>
      <c r="O34" s="609"/>
      <c r="P34" s="609"/>
    </row>
    <row r="35" spans="1:16" ht="20.399999999999999">
      <c r="A35" s="609"/>
      <c r="B35" s="609"/>
      <c r="C35" s="608"/>
      <c r="D35" s="609"/>
      <c r="E35" s="1081" t="s">
        <v>198</v>
      </c>
      <c r="F35" s="1081"/>
      <c r="G35" s="1081"/>
      <c r="H35" s="627" t="s">
        <v>2901</v>
      </c>
      <c r="I35" s="617"/>
      <c r="J35" s="609" t="s">
        <v>1630</v>
      </c>
      <c r="K35" s="609"/>
      <c r="L35" s="609"/>
      <c r="M35" s="609"/>
      <c r="N35" s="609"/>
      <c r="O35" s="609"/>
      <c r="P35" s="609"/>
    </row>
    <row r="36" spans="1:16" ht="20.399999999999999">
      <c r="A36" s="609"/>
      <c r="B36" s="609"/>
      <c r="C36" s="608"/>
      <c r="D36" s="609"/>
      <c r="E36" s="1081" t="s">
        <v>199</v>
      </c>
      <c r="F36" s="1081"/>
      <c r="G36" s="1081"/>
      <c r="H36" s="633"/>
      <c r="I36" s="617"/>
      <c r="J36" s="609" t="s">
        <v>1631</v>
      </c>
      <c r="K36" s="609"/>
      <c r="L36" s="609"/>
      <c r="M36" s="609"/>
      <c r="N36" s="609"/>
      <c r="O36" s="609"/>
      <c r="P36" s="609"/>
    </row>
    <row r="37" spans="1:16" ht="20.399999999999999">
      <c r="A37" s="609"/>
      <c r="B37" s="609"/>
      <c r="C37" s="608"/>
      <c r="D37" s="609"/>
      <c r="E37" s="1081" t="s">
        <v>200</v>
      </c>
      <c r="F37" s="1081"/>
      <c r="G37" s="634" t="s">
        <v>201</v>
      </c>
      <c r="H37" s="635" t="s">
        <v>21</v>
      </c>
      <c r="I37" s="617"/>
      <c r="J37" s="609" t="s">
        <v>1632</v>
      </c>
      <c r="K37" s="609"/>
      <c r="L37" s="609"/>
      <c r="M37" s="609"/>
      <c r="N37" s="609"/>
      <c r="O37" s="609"/>
      <c r="P37" s="609"/>
    </row>
    <row r="38" spans="1:16" ht="20.399999999999999">
      <c r="A38" s="609"/>
      <c r="B38" s="609"/>
      <c r="C38" s="608"/>
      <c r="D38" s="609"/>
      <c r="E38" s="1081"/>
      <c r="F38" s="1081"/>
      <c r="G38" s="634" t="s">
        <v>202</v>
      </c>
      <c r="H38" s="636" t="s">
        <v>2936</v>
      </c>
      <c r="I38" s="617"/>
      <c r="J38" s="609" t="s">
        <v>1633</v>
      </c>
      <c r="K38" s="609"/>
      <c r="L38" s="609"/>
      <c r="M38" s="609"/>
      <c r="N38" s="609"/>
      <c r="O38" s="609"/>
      <c r="P38" s="609"/>
    </row>
    <row r="39" spans="1:16" ht="20.399999999999999">
      <c r="A39" s="609"/>
      <c r="B39" s="609"/>
      <c r="C39" s="608"/>
      <c r="D39" s="609"/>
      <c r="E39" s="1081"/>
      <c r="F39" s="1081"/>
      <c r="G39" s="634" t="s">
        <v>203</v>
      </c>
      <c r="H39" s="636" t="s">
        <v>729</v>
      </c>
      <c r="I39" s="617"/>
      <c r="J39" s="609" t="s">
        <v>1634</v>
      </c>
      <c r="K39" s="609"/>
      <c r="L39" s="609"/>
      <c r="M39" s="609"/>
      <c r="N39" s="609"/>
      <c r="O39" s="609"/>
      <c r="P39" s="609"/>
    </row>
    <row r="40" spans="1:16" ht="24.6">
      <c r="A40" s="609"/>
      <c r="B40" s="609"/>
      <c r="C40" s="608"/>
      <c r="D40" s="609"/>
      <c r="E40" s="1081" t="s">
        <v>204</v>
      </c>
      <c r="F40" s="1081"/>
      <c r="G40" s="1081"/>
      <c r="H40" s="635" t="s">
        <v>21</v>
      </c>
      <c r="I40" s="637"/>
      <c r="J40" s="609" t="s">
        <v>1598</v>
      </c>
      <c r="K40" s="609"/>
      <c r="L40" s="609"/>
      <c r="M40" s="609"/>
      <c r="N40" s="609"/>
      <c r="O40" s="609"/>
      <c r="P40" s="609"/>
    </row>
    <row r="41" spans="1:16" ht="20.399999999999999">
      <c r="A41" s="609"/>
      <c r="B41" s="609"/>
      <c r="C41" s="608"/>
      <c r="D41" s="609"/>
      <c r="E41" s="1081" t="s">
        <v>205</v>
      </c>
      <c r="F41" s="1081"/>
      <c r="G41" s="1081"/>
      <c r="H41" s="635" t="s">
        <v>20</v>
      </c>
      <c r="I41" s="617"/>
      <c r="J41" s="609" t="s">
        <v>1619</v>
      </c>
      <c r="K41" s="609"/>
      <c r="L41" s="609"/>
      <c r="M41" s="609"/>
      <c r="N41" s="609"/>
      <c r="O41" s="609"/>
      <c r="P41" s="609"/>
    </row>
    <row r="42" spans="1:16" ht="24.6">
      <c r="A42" s="609"/>
      <c r="B42" s="609"/>
      <c r="C42" s="608"/>
      <c r="D42" s="609"/>
      <c r="E42" s="1081" t="s">
        <v>206</v>
      </c>
      <c r="F42" s="1081"/>
      <c r="G42" s="1081"/>
      <c r="H42" s="635" t="s">
        <v>21</v>
      </c>
      <c r="I42" s="637"/>
      <c r="J42" s="609" t="s">
        <v>1635</v>
      </c>
      <c r="K42" s="609"/>
      <c r="L42" s="609"/>
      <c r="M42" s="609"/>
      <c r="N42" s="609"/>
      <c r="O42" s="609"/>
      <c r="P42" s="609"/>
    </row>
    <row r="43" spans="1:16" ht="20.399999999999999">
      <c r="A43" s="609" t="s">
        <v>1346</v>
      </c>
      <c r="B43" s="609"/>
      <c r="C43" s="608"/>
      <c r="D43" s="609"/>
      <c r="E43" s="1081" t="s">
        <v>207</v>
      </c>
      <c r="F43" s="1081"/>
      <c r="G43" s="1081"/>
      <c r="H43" s="635" t="s">
        <v>21</v>
      </c>
      <c r="I43" s="617"/>
      <c r="J43" s="609" t="s">
        <v>1636</v>
      </c>
      <c r="K43" s="609"/>
      <c r="L43" s="609"/>
      <c r="M43" s="609"/>
      <c r="N43" s="609"/>
      <c r="O43" s="609"/>
      <c r="P43" s="609"/>
    </row>
    <row r="44" spans="1:16" ht="20.399999999999999" hidden="1">
      <c r="A44" s="609"/>
      <c r="B44" s="609"/>
      <c r="C44" s="608"/>
      <c r="D44" s="609"/>
      <c r="E44" s="1086" t="s">
        <v>208</v>
      </c>
      <c r="F44" s="1086"/>
      <c r="G44" s="1086"/>
      <c r="H44" s="638" t="s">
        <v>1128</v>
      </c>
      <c r="I44" s="617"/>
      <c r="J44" s="609"/>
      <c r="K44" s="609"/>
      <c r="L44" s="609"/>
      <c r="M44" s="609"/>
      <c r="N44" s="609"/>
      <c r="O44" s="609"/>
      <c r="P44" s="609"/>
    </row>
    <row r="45" spans="1:16" ht="20.399999999999999">
      <c r="A45" s="609"/>
      <c r="B45" s="609"/>
      <c r="C45" s="608"/>
      <c r="D45" s="609"/>
      <c r="E45" s="1081" t="s">
        <v>209</v>
      </c>
      <c r="F45" s="1081"/>
      <c r="G45" s="1081"/>
      <c r="H45" s="635" t="s">
        <v>21</v>
      </c>
      <c r="I45" s="617"/>
      <c r="J45" s="609" t="s">
        <v>1637</v>
      </c>
      <c r="K45" s="609"/>
      <c r="L45" s="609"/>
      <c r="M45" s="609"/>
      <c r="N45" s="609"/>
      <c r="O45" s="609"/>
      <c r="P45" s="609"/>
    </row>
    <row r="46" spans="1:16" ht="20.399999999999999">
      <c r="A46" s="609" t="s">
        <v>1347</v>
      </c>
      <c r="B46" s="609"/>
      <c r="C46" s="608"/>
      <c r="D46" s="609"/>
      <c r="E46" s="1081" t="s">
        <v>210</v>
      </c>
      <c r="F46" s="1081"/>
      <c r="G46" s="1081"/>
      <c r="H46" s="635" t="s">
        <v>21</v>
      </c>
      <c r="I46" s="617"/>
      <c r="J46" s="609" t="s">
        <v>1638</v>
      </c>
      <c r="K46" s="609"/>
      <c r="L46" s="609"/>
      <c r="M46" s="609"/>
      <c r="N46" s="609"/>
      <c r="O46" s="609"/>
      <c r="P46" s="609"/>
    </row>
    <row r="47" spans="1:16" ht="20.399999999999999" hidden="1">
      <c r="A47" s="609"/>
      <c r="B47" s="609"/>
      <c r="C47" s="608"/>
      <c r="D47" s="609"/>
      <c r="E47" s="1085" t="s">
        <v>211</v>
      </c>
      <c r="F47" s="1081" t="s">
        <v>212</v>
      </c>
      <c r="G47" s="1081"/>
      <c r="H47" s="639" t="s">
        <v>1128</v>
      </c>
      <c r="I47" s="617"/>
      <c r="J47" s="609"/>
      <c r="K47" s="609"/>
      <c r="L47" s="609"/>
      <c r="M47" s="609"/>
      <c r="N47" s="609"/>
      <c r="O47" s="609"/>
      <c r="P47" s="609"/>
    </row>
    <row r="48" spans="1:16" ht="20.399999999999999" hidden="1">
      <c r="A48" s="609"/>
      <c r="B48" s="609"/>
      <c r="C48" s="608"/>
      <c r="D48" s="609"/>
      <c r="E48" s="1085"/>
      <c r="F48" s="1081" t="s">
        <v>213</v>
      </c>
      <c r="G48" s="1081"/>
      <c r="H48" s="640" t="s">
        <v>1128</v>
      </c>
      <c r="I48" s="617"/>
      <c r="J48" s="609"/>
      <c r="K48" s="609"/>
      <c r="L48" s="609"/>
      <c r="M48" s="609"/>
      <c r="N48" s="609"/>
      <c r="O48" s="609"/>
      <c r="P48" s="609"/>
    </row>
    <row r="49" spans="1:16" ht="20.399999999999999" hidden="1">
      <c r="A49" s="609"/>
      <c r="B49" s="609"/>
      <c r="C49" s="608"/>
      <c r="D49" s="609"/>
      <c r="E49" s="1085"/>
      <c r="F49" s="1081" t="s">
        <v>214</v>
      </c>
      <c r="G49" s="1081"/>
      <c r="H49" s="639" t="s">
        <v>1128</v>
      </c>
      <c r="I49" s="617"/>
      <c r="J49" s="609"/>
      <c r="K49" s="609"/>
      <c r="L49" s="609"/>
      <c r="M49" s="609"/>
      <c r="N49" s="609"/>
      <c r="O49" s="609"/>
      <c r="P49" s="609"/>
    </row>
    <row r="50" spans="1:16" ht="20.399999999999999" hidden="1">
      <c r="A50" s="609"/>
      <c r="B50" s="609"/>
      <c r="C50" s="608"/>
      <c r="D50" s="609"/>
      <c r="E50" s="1085"/>
      <c r="F50" s="1081" t="s">
        <v>215</v>
      </c>
      <c r="G50" s="1081"/>
      <c r="H50" s="641"/>
      <c r="I50" s="617"/>
      <c r="J50" s="609"/>
      <c r="K50" s="609"/>
      <c r="L50" s="609"/>
      <c r="M50" s="609"/>
      <c r="N50" s="609"/>
      <c r="O50" s="609"/>
      <c r="P50" s="609"/>
    </row>
    <row r="51" spans="1:16" ht="20.399999999999999" hidden="1">
      <c r="A51" s="609"/>
      <c r="B51" s="609"/>
      <c r="C51" s="608"/>
      <c r="D51" s="609"/>
      <c r="E51" s="1085"/>
      <c r="F51" s="1086" t="s">
        <v>216</v>
      </c>
      <c r="G51" s="1086"/>
      <c r="H51" s="638" t="s">
        <v>1128</v>
      </c>
      <c r="I51" s="617"/>
      <c r="J51" s="642"/>
      <c r="K51" s="609"/>
      <c r="L51" s="609"/>
      <c r="M51" s="609"/>
      <c r="N51" s="609"/>
      <c r="O51" s="609"/>
      <c r="P51" s="609"/>
    </row>
    <row r="52" spans="1:16" ht="20.399999999999999">
      <c r="A52" s="609" t="s">
        <v>1348</v>
      </c>
      <c r="B52" s="609"/>
      <c r="C52" s="608"/>
      <c r="D52" s="609"/>
      <c r="E52" s="1081" t="s">
        <v>217</v>
      </c>
      <c r="F52" s="1081"/>
      <c r="G52" s="1081"/>
      <c r="H52" s="635" t="s">
        <v>21</v>
      </c>
      <c r="I52" s="617"/>
      <c r="J52" s="609" t="s">
        <v>1639</v>
      </c>
      <c r="K52" s="609"/>
      <c r="L52" s="609"/>
      <c r="M52" s="609"/>
      <c r="N52" s="609"/>
      <c r="O52" s="609"/>
      <c r="P52" s="609"/>
    </row>
    <row r="53" spans="1:16" ht="20.399999999999999" hidden="1">
      <c r="A53" s="609"/>
      <c r="B53" s="609"/>
      <c r="C53" s="608"/>
      <c r="D53" s="609"/>
      <c r="E53" s="1085" t="s">
        <v>211</v>
      </c>
      <c r="F53" s="1081" t="s">
        <v>212</v>
      </c>
      <c r="G53" s="1081"/>
      <c r="H53" s="639" t="s">
        <v>1128</v>
      </c>
      <c r="I53" s="617"/>
      <c r="J53" s="609"/>
      <c r="K53" s="609"/>
      <c r="L53" s="609"/>
      <c r="M53" s="609"/>
      <c r="N53" s="609"/>
      <c r="O53" s="609"/>
      <c r="P53" s="609"/>
    </row>
    <row r="54" spans="1:16" ht="20.399999999999999" hidden="1">
      <c r="A54" s="609"/>
      <c r="B54" s="609"/>
      <c r="C54" s="608"/>
      <c r="D54" s="609"/>
      <c r="E54" s="1085"/>
      <c r="F54" s="1081" t="s">
        <v>213</v>
      </c>
      <c r="G54" s="1081"/>
      <c r="H54" s="640" t="s">
        <v>1128</v>
      </c>
      <c r="I54" s="617"/>
      <c r="J54" s="609"/>
      <c r="K54" s="609"/>
      <c r="L54" s="609"/>
      <c r="M54" s="609"/>
      <c r="N54" s="609"/>
      <c r="O54" s="609"/>
      <c r="P54" s="609"/>
    </row>
    <row r="55" spans="1:16" ht="20.399999999999999" hidden="1">
      <c r="A55" s="609"/>
      <c r="B55" s="609"/>
      <c r="C55" s="608"/>
      <c r="D55" s="609"/>
      <c r="E55" s="1085"/>
      <c r="F55" s="1081" t="s">
        <v>214</v>
      </c>
      <c r="G55" s="1081"/>
      <c r="H55" s="639" t="s">
        <v>1128</v>
      </c>
      <c r="I55" s="617"/>
      <c r="J55" s="609"/>
      <c r="K55" s="609"/>
      <c r="L55" s="609"/>
      <c r="M55" s="609"/>
      <c r="N55" s="609"/>
      <c r="O55" s="609"/>
      <c r="P55" s="609"/>
    </row>
    <row r="56" spans="1:16" ht="20.399999999999999" hidden="1">
      <c r="A56" s="609"/>
      <c r="B56" s="609"/>
      <c r="C56" s="608"/>
      <c r="D56" s="609"/>
      <c r="E56" s="1085"/>
      <c r="F56" s="1081" t="s">
        <v>215</v>
      </c>
      <c r="G56" s="1081"/>
      <c r="H56" s="641"/>
      <c r="I56" s="617"/>
      <c r="J56" s="609"/>
      <c r="K56" s="609"/>
      <c r="L56" s="609"/>
      <c r="M56" s="609"/>
      <c r="N56" s="609"/>
      <c r="O56" s="609"/>
      <c r="P56" s="609"/>
    </row>
    <row r="57" spans="1:16" ht="20.399999999999999" hidden="1">
      <c r="A57" s="609"/>
      <c r="B57" s="609"/>
      <c r="C57" s="608"/>
      <c r="D57" s="609"/>
      <c r="E57" s="1085"/>
      <c r="F57" s="1086" t="s">
        <v>216</v>
      </c>
      <c r="G57" s="1086"/>
      <c r="H57" s="638" t="s">
        <v>1128</v>
      </c>
      <c r="I57" s="617"/>
      <c r="J57" s="642"/>
      <c r="K57" s="609"/>
      <c r="L57" s="609"/>
      <c r="M57" s="609"/>
      <c r="N57" s="609"/>
      <c r="O57" s="609"/>
      <c r="P57" s="609"/>
    </row>
    <row r="58" spans="1:16" ht="20.399999999999999">
      <c r="A58" s="609" t="s">
        <v>1349</v>
      </c>
      <c r="B58" s="609"/>
      <c r="C58" s="608"/>
      <c r="D58" s="609"/>
      <c r="E58" s="1081" t="s">
        <v>218</v>
      </c>
      <c r="F58" s="1081"/>
      <c r="G58" s="1081"/>
      <c r="H58" s="635" t="s">
        <v>21</v>
      </c>
      <c r="I58" s="617"/>
      <c r="J58" s="609" t="s">
        <v>1640</v>
      </c>
      <c r="K58" s="609"/>
      <c r="L58" s="609"/>
      <c r="M58" s="609"/>
      <c r="N58" s="609"/>
      <c r="O58" s="609"/>
      <c r="P58" s="609"/>
    </row>
    <row r="59" spans="1:16" ht="20.399999999999999" hidden="1">
      <c r="A59" s="609"/>
      <c r="B59" s="609"/>
      <c r="C59" s="608"/>
      <c r="D59" s="609"/>
      <c r="E59" s="1085" t="s">
        <v>211</v>
      </c>
      <c r="F59" s="1081" t="s">
        <v>212</v>
      </c>
      <c r="G59" s="1081"/>
      <c r="H59" s="639" t="s">
        <v>1128</v>
      </c>
      <c r="I59" s="617"/>
      <c r="J59" s="609"/>
      <c r="K59" s="609"/>
      <c r="L59" s="609"/>
      <c r="M59" s="609"/>
      <c r="N59" s="609"/>
      <c r="O59" s="609"/>
      <c r="P59" s="609"/>
    </row>
    <row r="60" spans="1:16" ht="20.399999999999999" hidden="1">
      <c r="A60" s="609"/>
      <c r="B60" s="609"/>
      <c r="C60" s="608"/>
      <c r="D60" s="609"/>
      <c r="E60" s="1085"/>
      <c r="F60" s="1081" t="s">
        <v>213</v>
      </c>
      <c r="G60" s="1081"/>
      <c r="H60" s="640" t="s">
        <v>1128</v>
      </c>
      <c r="I60" s="617"/>
      <c r="J60" s="609"/>
      <c r="K60" s="609"/>
      <c r="L60" s="609"/>
      <c r="M60" s="609"/>
      <c r="N60" s="609"/>
      <c r="O60" s="609"/>
      <c r="P60" s="609"/>
    </row>
    <row r="61" spans="1:16" ht="20.399999999999999" hidden="1">
      <c r="A61" s="609"/>
      <c r="B61" s="609"/>
      <c r="C61" s="608"/>
      <c r="D61" s="609"/>
      <c r="E61" s="1085"/>
      <c r="F61" s="1081" t="s">
        <v>214</v>
      </c>
      <c r="G61" s="1081"/>
      <c r="H61" s="639" t="s">
        <v>1128</v>
      </c>
      <c r="I61" s="617"/>
      <c r="J61" s="609"/>
      <c r="K61" s="609"/>
      <c r="L61" s="609"/>
      <c r="M61" s="609"/>
      <c r="N61" s="609"/>
      <c r="O61" s="609"/>
      <c r="P61" s="609"/>
    </row>
    <row r="62" spans="1:16" ht="20.399999999999999" hidden="1">
      <c r="A62" s="609"/>
      <c r="B62" s="609"/>
      <c r="C62" s="608"/>
      <c r="D62" s="609"/>
      <c r="E62" s="1085"/>
      <c r="F62" s="1081" t="s">
        <v>215</v>
      </c>
      <c r="G62" s="1081"/>
      <c r="H62" s="641"/>
      <c r="I62" s="617"/>
      <c r="J62" s="609"/>
      <c r="K62" s="609"/>
      <c r="L62" s="609"/>
      <c r="M62" s="609"/>
      <c r="N62" s="609"/>
      <c r="O62" s="609"/>
      <c r="P62" s="609"/>
    </row>
    <row r="63" spans="1:16" ht="20.399999999999999" hidden="1">
      <c r="A63" s="609"/>
      <c r="B63" s="609"/>
      <c r="C63" s="608"/>
      <c r="D63" s="609"/>
      <c r="E63" s="1085"/>
      <c r="F63" s="1086" t="s">
        <v>216</v>
      </c>
      <c r="G63" s="1086"/>
      <c r="H63" s="638" t="s">
        <v>1128</v>
      </c>
      <c r="I63" s="617"/>
      <c r="J63" s="642"/>
      <c r="K63" s="609"/>
      <c r="L63" s="609"/>
      <c r="M63" s="609"/>
      <c r="N63" s="609"/>
      <c r="O63" s="609"/>
      <c r="P63" s="609"/>
    </row>
    <row r="64" spans="1:16" ht="24.6">
      <c r="A64" s="609" t="s">
        <v>1350</v>
      </c>
      <c r="B64" s="609"/>
      <c r="C64" s="608"/>
      <c r="D64" s="609"/>
      <c r="E64" s="1081" t="s">
        <v>3000</v>
      </c>
      <c r="F64" s="1081"/>
      <c r="G64" s="1081"/>
      <c r="H64" s="635" t="s">
        <v>21</v>
      </c>
      <c r="I64" s="637"/>
      <c r="J64" s="609" t="s">
        <v>1641</v>
      </c>
      <c r="K64" s="609"/>
      <c r="L64" s="609"/>
      <c r="M64" s="609"/>
      <c r="N64" s="609"/>
      <c r="O64" s="609"/>
      <c r="P64" s="609"/>
    </row>
    <row r="65" spans="1:16" ht="20.399999999999999" hidden="1">
      <c r="A65" s="609"/>
      <c r="B65" s="609"/>
      <c r="C65" s="608"/>
      <c r="D65" s="609"/>
      <c r="E65" s="1085" t="s">
        <v>211</v>
      </c>
      <c r="F65" s="1081" t="s">
        <v>212</v>
      </c>
      <c r="G65" s="1081"/>
      <c r="H65" s="639" t="s">
        <v>1128</v>
      </c>
      <c r="I65" s="617"/>
      <c r="J65" s="609"/>
      <c r="K65" s="609"/>
      <c r="L65" s="609"/>
      <c r="M65" s="609"/>
      <c r="N65" s="609"/>
      <c r="O65" s="609"/>
      <c r="P65" s="609"/>
    </row>
    <row r="66" spans="1:16" ht="20.399999999999999" hidden="1">
      <c r="A66" s="609"/>
      <c r="B66" s="609"/>
      <c r="C66" s="608"/>
      <c r="D66" s="609"/>
      <c r="E66" s="1085"/>
      <c r="F66" s="1081" t="s">
        <v>213</v>
      </c>
      <c r="G66" s="1081"/>
      <c r="H66" s="640" t="s">
        <v>1128</v>
      </c>
      <c r="I66" s="617"/>
      <c r="J66" s="609"/>
      <c r="K66" s="609"/>
      <c r="L66" s="609"/>
      <c r="M66" s="609"/>
      <c r="N66" s="609"/>
      <c r="O66" s="609"/>
      <c r="P66" s="609"/>
    </row>
    <row r="67" spans="1:16" ht="20.399999999999999" hidden="1">
      <c r="A67" s="609"/>
      <c r="B67" s="609"/>
      <c r="C67" s="608"/>
      <c r="D67" s="609"/>
      <c r="E67" s="1085"/>
      <c r="F67" s="1081" t="s">
        <v>214</v>
      </c>
      <c r="G67" s="1081"/>
      <c r="H67" s="639" t="s">
        <v>1128</v>
      </c>
      <c r="I67" s="617"/>
      <c r="J67" s="609"/>
      <c r="K67" s="609"/>
      <c r="L67" s="609"/>
      <c r="M67" s="609"/>
      <c r="N67" s="609"/>
      <c r="O67" s="609"/>
      <c r="P67" s="609"/>
    </row>
    <row r="68" spans="1:16" ht="20.399999999999999" hidden="1">
      <c r="A68" s="609"/>
      <c r="B68" s="609"/>
      <c r="C68" s="608"/>
      <c r="D68" s="609"/>
      <c r="E68" s="1085"/>
      <c r="F68" s="1081" t="s">
        <v>215</v>
      </c>
      <c r="G68" s="1081"/>
      <c r="H68" s="641"/>
      <c r="I68" s="617"/>
      <c r="J68" s="609"/>
      <c r="K68" s="609"/>
      <c r="L68" s="609"/>
      <c r="M68" s="609"/>
      <c r="N68" s="609"/>
      <c r="O68" s="609"/>
      <c r="P68" s="609"/>
    </row>
    <row r="69" spans="1:16" ht="20.399999999999999" hidden="1">
      <c r="A69" s="609"/>
      <c r="B69" s="609"/>
      <c r="C69" s="608"/>
      <c r="D69" s="609"/>
      <c r="E69" s="1085"/>
      <c r="F69" s="1081" t="s">
        <v>219</v>
      </c>
      <c r="G69" s="1081"/>
      <c r="H69" s="641"/>
      <c r="I69" s="617"/>
      <c r="J69" s="609"/>
      <c r="K69" s="609"/>
      <c r="L69" s="609"/>
      <c r="M69" s="609"/>
      <c r="N69" s="609"/>
      <c r="O69" s="609"/>
      <c r="P69" s="609"/>
    </row>
    <row r="70" spans="1:16" ht="20.399999999999999" hidden="1">
      <c r="A70" s="609"/>
      <c r="B70" s="609"/>
      <c r="C70" s="608"/>
      <c r="D70" s="609"/>
      <c r="E70" s="1085"/>
      <c r="F70" s="1081" t="s">
        <v>220</v>
      </c>
      <c r="G70" s="1081"/>
      <c r="H70" s="641"/>
      <c r="I70" s="617"/>
      <c r="J70" s="609"/>
      <c r="K70" s="609"/>
      <c r="L70" s="609"/>
      <c r="M70" s="609"/>
      <c r="N70" s="609"/>
      <c r="O70" s="609"/>
      <c r="P70" s="609"/>
    </row>
    <row r="71" spans="1:16" ht="24.6">
      <c r="A71" s="609" t="s">
        <v>1351</v>
      </c>
      <c r="B71" s="609"/>
      <c r="C71" s="608"/>
      <c r="D71" s="609"/>
      <c r="E71" s="1081" t="s">
        <v>3001</v>
      </c>
      <c r="F71" s="1081"/>
      <c r="G71" s="1081"/>
      <c r="H71" s="635" t="s">
        <v>21</v>
      </c>
      <c r="I71" s="637"/>
      <c r="J71" s="609" t="s">
        <v>1642</v>
      </c>
      <c r="K71" s="609"/>
      <c r="L71" s="609"/>
      <c r="M71" s="609"/>
      <c r="N71" s="609"/>
      <c r="O71" s="609"/>
      <c r="P71" s="609"/>
    </row>
    <row r="72" spans="1:16" ht="20.399999999999999" hidden="1">
      <c r="A72" s="609"/>
      <c r="B72" s="609"/>
      <c r="C72" s="608"/>
      <c r="D72" s="609"/>
      <c r="E72" s="1085" t="s">
        <v>211</v>
      </c>
      <c r="F72" s="1081" t="s">
        <v>212</v>
      </c>
      <c r="G72" s="1081"/>
      <c r="H72" s="639" t="s">
        <v>1128</v>
      </c>
      <c r="I72" s="617"/>
      <c r="J72" s="609"/>
      <c r="K72" s="609"/>
      <c r="L72" s="609"/>
      <c r="M72" s="609"/>
      <c r="N72" s="609"/>
      <c r="O72" s="609"/>
      <c r="P72" s="609"/>
    </row>
    <row r="73" spans="1:16" ht="20.399999999999999" hidden="1">
      <c r="A73" s="609"/>
      <c r="B73" s="609"/>
      <c r="C73" s="608"/>
      <c r="D73" s="609"/>
      <c r="E73" s="1085"/>
      <c r="F73" s="1081" t="s">
        <v>213</v>
      </c>
      <c r="G73" s="1081"/>
      <c r="H73" s="640" t="s">
        <v>1128</v>
      </c>
      <c r="I73" s="617"/>
      <c r="J73" s="609"/>
      <c r="K73" s="609"/>
      <c r="L73" s="609"/>
      <c r="M73" s="609"/>
      <c r="N73" s="609"/>
      <c r="O73" s="609"/>
      <c r="P73" s="609"/>
    </row>
    <row r="74" spans="1:16" ht="20.399999999999999" hidden="1">
      <c r="A74" s="609"/>
      <c r="B74" s="609"/>
      <c r="C74" s="608"/>
      <c r="D74" s="609"/>
      <c r="E74" s="1085"/>
      <c r="F74" s="1081" t="s">
        <v>214</v>
      </c>
      <c r="G74" s="1081"/>
      <c r="H74" s="639" t="s">
        <v>1128</v>
      </c>
      <c r="I74" s="617"/>
      <c r="J74" s="609"/>
      <c r="K74" s="609"/>
      <c r="L74" s="609"/>
      <c r="M74" s="609"/>
      <c r="N74" s="609"/>
      <c r="O74" s="609"/>
      <c r="P74" s="609"/>
    </row>
    <row r="75" spans="1:16" ht="20.399999999999999" hidden="1">
      <c r="A75" s="609"/>
      <c r="B75" s="609"/>
      <c r="C75" s="608"/>
      <c r="D75" s="609"/>
      <c r="E75" s="1085"/>
      <c r="F75" s="1081" t="s">
        <v>215</v>
      </c>
      <c r="G75" s="1081"/>
      <c r="H75" s="641"/>
      <c r="I75" s="617"/>
      <c r="J75" s="609"/>
      <c r="K75" s="609"/>
      <c r="L75" s="609"/>
      <c r="M75" s="609"/>
      <c r="N75" s="609"/>
      <c r="O75" s="609"/>
      <c r="P75" s="609"/>
    </row>
    <row r="76" spans="1:16" ht="20.399999999999999" hidden="1">
      <c r="A76" s="609"/>
      <c r="B76" s="609"/>
      <c r="C76" s="608"/>
      <c r="D76" s="609"/>
      <c r="E76" s="1085"/>
      <c r="F76" s="1081" t="s">
        <v>219</v>
      </c>
      <c r="G76" s="1081"/>
      <c r="H76" s="641"/>
      <c r="I76" s="617"/>
      <c r="J76" s="609"/>
      <c r="K76" s="609"/>
      <c r="L76" s="609"/>
      <c r="M76" s="609"/>
      <c r="N76" s="609"/>
      <c r="O76" s="609"/>
      <c r="P76" s="609"/>
    </row>
    <row r="77" spans="1:16" ht="20.399999999999999" hidden="1">
      <c r="A77" s="609"/>
      <c r="B77" s="609"/>
      <c r="C77" s="608"/>
      <c r="D77" s="609"/>
      <c r="E77" s="1085"/>
      <c r="F77" s="1081" t="s">
        <v>220</v>
      </c>
      <c r="G77" s="1081"/>
      <c r="H77" s="641"/>
      <c r="I77" s="617"/>
      <c r="J77" s="609"/>
      <c r="K77" s="609"/>
      <c r="L77" s="609"/>
      <c r="M77" s="609"/>
      <c r="N77" s="609"/>
      <c r="O77" s="609"/>
      <c r="P77" s="609"/>
    </row>
    <row r="78" spans="1:16" ht="24.6">
      <c r="A78" s="609" t="s">
        <v>1352</v>
      </c>
      <c r="B78" s="609"/>
      <c r="C78" s="608"/>
      <c r="D78" s="609"/>
      <c r="E78" s="1081" t="s">
        <v>3002</v>
      </c>
      <c r="F78" s="1081"/>
      <c r="G78" s="1081"/>
      <c r="H78" s="635" t="s">
        <v>21</v>
      </c>
      <c r="I78" s="637"/>
      <c r="J78" s="609" t="s">
        <v>1643</v>
      </c>
      <c r="K78" s="609"/>
      <c r="L78" s="609"/>
      <c r="M78" s="609"/>
      <c r="N78" s="609"/>
      <c r="O78" s="609"/>
      <c r="P78" s="609"/>
    </row>
    <row r="79" spans="1:16" ht="20.399999999999999" hidden="1">
      <c r="A79" s="609"/>
      <c r="B79" s="609"/>
      <c r="C79" s="608"/>
      <c r="D79" s="609"/>
      <c r="E79" s="1085" t="s">
        <v>211</v>
      </c>
      <c r="F79" s="1081" t="s">
        <v>212</v>
      </c>
      <c r="G79" s="1081"/>
      <c r="H79" s="639" t="s">
        <v>1128</v>
      </c>
      <c r="I79" s="617"/>
      <c r="J79" s="609"/>
      <c r="K79" s="609"/>
      <c r="L79" s="609"/>
      <c r="M79" s="609"/>
      <c r="N79" s="609"/>
      <c r="O79" s="609"/>
      <c r="P79" s="609"/>
    </row>
    <row r="80" spans="1:16" ht="20.399999999999999" hidden="1">
      <c r="A80" s="609"/>
      <c r="B80" s="609"/>
      <c r="C80" s="608"/>
      <c r="D80" s="609"/>
      <c r="E80" s="1085"/>
      <c r="F80" s="1081" t="s">
        <v>213</v>
      </c>
      <c r="G80" s="1081"/>
      <c r="H80" s="640" t="s">
        <v>1128</v>
      </c>
      <c r="I80" s="617"/>
      <c r="J80" s="609"/>
      <c r="K80" s="609"/>
      <c r="L80" s="609"/>
      <c r="M80" s="609"/>
      <c r="N80" s="609"/>
      <c r="O80" s="609"/>
      <c r="P80" s="609"/>
    </row>
    <row r="81" spans="1:16" ht="20.399999999999999" hidden="1">
      <c r="A81" s="609"/>
      <c r="B81" s="609"/>
      <c r="C81" s="608"/>
      <c r="D81" s="609"/>
      <c r="E81" s="1085"/>
      <c r="F81" s="1081" t="s">
        <v>214</v>
      </c>
      <c r="G81" s="1081"/>
      <c r="H81" s="639" t="s">
        <v>1128</v>
      </c>
      <c r="I81" s="617"/>
      <c r="J81" s="609"/>
      <c r="K81" s="609"/>
      <c r="L81" s="609"/>
      <c r="M81" s="609"/>
      <c r="N81" s="609"/>
      <c r="O81" s="609"/>
      <c r="P81" s="609"/>
    </row>
    <row r="82" spans="1:16" ht="20.399999999999999" hidden="1">
      <c r="A82" s="609"/>
      <c r="B82" s="609"/>
      <c r="C82" s="608"/>
      <c r="D82" s="609"/>
      <c r="E82" s="1085"/>
      <c r="F82" s="1081" t="s">
        <v>215</v>
      </c>
      <c r="G82" s="1081"/>
      <c r="H82" s="641"/>
      <c r="I82" s="617"/>
      <c r="J82" s="609"/>
      <c r="K82" s="609"/>
      <c r="L82" s="609"/>
      <c r="M82" s="609"/>
      <c r="N82" s="609"/>
      <c r="O82" s="609"/>
      <c r="P82" s="609"/>
    </row>
    <row r="83" spans="1:16" ht="20.399999999999999" hidden="1">
      <c r="A83" s="609"/>
      <c r="B83" s="609"/>
      <c r="C83" s="608"/>
      <c r="D83" s="609"/>
      <c r="E83" s="1085"/>
      <c r="F83" s="1081" t="s">
        <v>221</v>
      </c>
      <c r="G83" s="1081"/>
      <c r="H83" s="641"/>
      <c r="I83" s="617"/>
      <c r="J83" s="609"/>
      <c r="K83" s="609"/>
      <c r="L83" s="609"/>
      <c r="M83" s="609"/>
      <c r="N83" s="609"/>
      <c r="O83" s="609"/>
      <c r="P83" s="609"/>
    </row>
    <row r="84" spans="1:16" ht="20.399999999999999" hidden="1">
      <c r="A84" s="609"/>
      <c r="B84" s="609"/>
      <c r="C84" s="608"/>
      <c r="D84" s="609"/>
      <c r="E84" s="1085"/>
      <c r="F84" s="1081" t="s">
        <v>1120</v>
      </c>
      <c r="G84" s="1081"/>
      <c r="H84" s="641"/>
      <c r="I84" s="617"/>
      <c r="J84" s="609"/>
      <c r="K84" s="609"/>
      <c r="L84" s="609"/>
      <c r="M84" s="609"/>
      <c r="N84" s="609"/>
      <c r="O84" s="609"/>
      <c r="P84" s="609"/>
    </row>
    <row r="85" spans="1:16" ht="20.399999999999999">
      <c r="A85" s="609"/>
      <c r="B85" s="609"/>
      <c r="C85" s="608"/>
      <c r="D85" s="609"/>
      <c r="E85" s="1081" t="s">
        <v>222</v>
      </c>
      <c r="F85" s="1081"/>
      <c r="G85" s="1081"/>
      <c r="H85" s="643"/>
      <c r="I85" s="617"/>
      <c r="J85" s="609" t="s">
        <v>1644</v>
      </c>
      <c r="K85" s="609"/>
      <c r="L85" s="609"/>
      <c r="M85" s="609"/>
      <c r="N85" s="609"/>
      <c r="O85" s="609"/>
      <c r="P85" s="609"/>
    </row>
    <row r="86" spans="1:16" ht="24.6">
      <c r="A86" s="609" t="s">
        <v>1346</v>
      </c>
      <c r="B86" s="609"/>
      <c r="C86" s="609"/>
      <c r="D86" s="609"/>
      <c r="E86" s="1081" t="s">
        <v>1716</v>
      </c>
      <c r="F86" s="1081"/>
      <c r="G86" s="1081"/>
      <c r="H86" s="635" t="s">
        <v>20</v>
      </c>
      <c r="I86" s="637"/>
      <c r="J86" s="609" t="s">
        <v>1405</v>
      </c>
      <c r="K86" s="609"/>
      <c r="L86" s="609"/>
      <c r="M86" s="609"/>
      <c r="N86" s="609"/>
      <c r="O86" s="609"/>
      <c r="P86" s="609"/>
    </row>
    <row r="87" spans="1:16">
      <c r="A87" s="609"/>
      <c r="B87" s="609"/>
      <c r="C87" s="608"/>
      <c r="D87" s="609"/>
      <c r="E87" s="610"/>
      <c r="F87" s="610"/>
      <c r="G87" s="610"/>
      <c r="H87" s="644"/>
      <c r="I87" s="645"/>
      <c r="J87" s="609"/>
      <c r="K87" s="609"/>
      <c r="L87" s="609"/>
      <c r="M87" s="609"/>
      <c r="N87" s="609"/>
      <c r="O87" s="609"/>
      <c r="P87" s="609"/>
    </row>
    <row r="88" spans="1:16" ht="20.399999999999999">
      <c r="A88" s="609"/>
      <c r="B88" s="609"/>
      <c r="C88" s="608"/>
      <c r="D88" s="609"/>
      <c r="E88" s="1081" t="s">
        <v>223</v>
      </c>
      <c r="F88" s="1081"/>
      <c r="G88" s="634" t="s">
        <v>224</v>
      </c>
      <c r="H88" s="631" t="s">
        <v>2937</v>
      </c>
      <c r="I88" s="617"/>
      <c r="J88" s="609" t="s">
        <v>1599</v>
      </c>
      <c r="K88" s="609"/>
      <c r="L88" s="609"/>
      <c r="M88" s="609"/>
      <c r="N88" s="609"/>
      <c r="O88" s="609"/>
      <c r="P88" s="609"/>
    </row>
    <row r="89" spans="1:16" ht="20.399999999999999">
      <c r="A89" s="609"/>
      <c r="B89" s="609"/>
      <c r="C89" s="608"/>
      <c r="D89" s="609"/>
      <c r="E89" s="1081"/>
      <c r="F89" s="1081"/>
      <c r="G89" s="634" t="s">
        <v>225</v>
      </c>
      <c r="H89" s="631" t="s">
        <v>2938</v>
      </c>
      <c r="I89" s="617"/>
      <c r="J89" s="609" t="s">
        <v>1600</v>
      </c>
      <c r="K89" s="609"/>
      <c r="L89" s="609"/>
      <c r="M89" s="609"/>
      <c r="N89" s="609"/>
      <c r="O89" s="609"/>
      <c r="P89" s="609"/>
    </row>
    <row r="90" spans="1:16" ht="20.399999999999999">
      <c r="A90" s="609"/>
      <c r="B90" s="609"/>
      <c r="C90" s="608"/>
      <c r="D90" s="609"/>
      <c r="E90" s="1081"/>
      <c r="F90" s="1081"/>
      <c r="G90" s="634" t="s">
        <v>226</v>
      </c>
      <c r="H90" s="631" t="s">
        <v>2939</v>
      </c>
      <c r="I90" s="617"/>
      <c r="J90" s="609" t="s">
        <v>1601</v>
      </c>
      <c r="K90" s="609"/>
      <c r="L90" s="609"/>
      <c r="M90" s="609"/>
      <c r="N90" s="609"/>
      <c r="O90" s="609"/>
      <c r="P90" s="609"/>
    </row>
    <row r="91" spans="1:16" ht="20.399999999999999">
      <c r="A91" s="609"/>
      <c r="B91" s="609"/>
      <c r="C91" s="608"/>
      <c r="D91" s="609"/>
      <c r="E91" s="1081"/>
      <c r="F91" s="1081"/>
      <c r="G91" s="634" t="s">
        <v>227</v>
      </c>
      <c r="H91" s="631" t="s">
        <v>2940</v>
      </c>
      <c r="I91" s="617"/>
      <c r="J91" s="609" t="s">
        <v>1602</v>
      </c>
      <c r="K91" s="609"/>
      <c r="L91" s="609"/>
      <c r="M91" s="609"/>
      <c r="N91" s="609"/>
      <c r="O91" s="609"/>
      <c r="P91" s="609"/>
    </row>
    <row r="92" spans="1:16" ht="20.399999999999999">
      <c r="A92" s="609"/>
      <c r="B92" s="609"/>
      <c r="C92" s="608"/>
      <c r="D92" s="609"/>
      <c r="E92" s="646"/>
      <c r="F92" s="646"/>
      <c r="G92" s="646"/>
      <c r="H92" s="647"/>
      <c r="I92" s="617"/>
      <c r="J92" s="609"/>
      <c r="K92" s="609"/>
      <c r="L92" s="609"/>
      <c r="M92" s="609"/>
      <c r="N92" s="609"/>
      <c r="O92" s="609"/>
      <c r="P92" s="609"/>
    </row>
    <row r="93" spans="1:16" ht="20.399999999999999">
      <c r="A93" s="609"/>
      <c r="B93" s="609"/>
      <c r="C93" s="608"/>
      <c r="D93" s="609"/>
      <c r="E93" s="1082" t="s">
        <v>228</v>
      </c>
      <c r="F93" s="1082"/>
      <c r="G93" s="1082"/>
      <c r="H93" s="1082"/>
      <c r="I93" s="617"/>
      <c r="J93" s="609"/>
      <c r="K93" s="609"/>
      <c r="L93" s="609"/>
      <c r="M93" s="609"/>
      <c r="N93" s="609"/>
      <c r="O93" s="609"/>
      <c r="P93" s="609"/>
    </row>
    <row r="94" spans="1:16" ht="15">
      <c r="A94" s="609"/>
      <c r="B94" s="609"/>
      <c r="C94" s="608"/>
      <c r="D94" s="609"/>
      <c r="E94" s="1078" t="s">
        <v>229</v>
      </c>
      <c r="F94" s="1078"/>
      <c r="G94" s="1078"/>
      <c r="H94" s="1078"/>
      <c r="I94" s="648"/>
      <c r="J94" s="609"/>
      <c r="K94" s="609"/>
      <c r="L94" s="609"/>
      <c r="M94" s="609"/>
      <c r="N94" s="609"/>
      <c r="O94" s="609"/>
      <c r="P94" s="609"/>
    </row>
    <row r="95" spans="1:16" ht="15">
      <c r="A95" s="609"/>
      <c r="B95" s="609"/>
      <c r="C95" s="608"/>
      <c r="D95" s="609"/>
      <c r="E95" s="1078" t="s">
        <v>230</v>
      </c>
      <c r="F95" s="1078"/>
      <c r="G95" s="1078"/>
      <c r="H95" s="1078"/>
      <c r="I95" s="648"/>
      <c r="J95" s="609"/>
      <c r="K95" s="609"/>
      <c r="L95" s="609"/>
      <c r="M95" s="609"/>
      <c r="N95" s="609"/>
      <c r="O95" s="609"/>
      <c r="P95" s="609"/>
    </row>
    <row r="96" spans="1:16" ht="15">
      <c r="A96" s="609"/>
      <c r="B96" s="609"/>
      <c r="C96" s="608"/>
      <c r="D96" s="609"/>
      <c r="E96" s="1078" t="s">
        <v>231</v>
      </c>
      <c r="F96" s="1078"/>
      <c r="G96" s="1078"/>
      <c r="H96" s="1078"/>
      <c r="I96" s="648"/>
      <c r="J96" s="609"/>
      <c r="K96" s="609"/>
      <c r="L96" s="609"/>
      <c r="M96" s="609"/>
      <c r="N96" s="609"/>
      <c r="O96" s="609"/>
      <c r="P96" s="609"/>
    </row>
    <row r="97" spans="1:16" ht="15">
      <c r="A97" s="609"/>
      <c r="B97" s="609"/>
      <c r="C97" s="608"/>
      <c r="D97" s="609"/>
      <c r="E97" s="1078" t="s">
        <v>232</v>
      </c>
      <c r="F97" s="1078"/>
      <c r="G97" s="1078"/>
      <c r="H97" s="1078"/>
      <c r="I97" s="648"/>
      <c r="J97" s="609"/>
      <c r="K97" s="609"/>
      <c r="L97" s="609"/>
      <c r="M97" s="609"/>
      <c r="N97" s="609"/>
      <c r="O97" s="609"/>
      <c r="P97" s="609"/>
    </row>
    <row r="98" spans="1:16" ht="15">
      <c r="A98" s="609"/>
      <c r="B98" s="609"/>
      <c r="C98" s="608"/>
      <c r="D98" s="609"/>
      <c r="E98" s="1078" t="s">
        <v>233</v>
      </c>
      <c r="F98" s="1078"/>
      <c r="G98" s="1078"/>
      <c r="H98" s="1078"/>
      <c r="I98" s="648"/>
      <c r="J98" s="609"/>
      <c r="K98" s="609"/>
      <c r="L98" s="609"/>
      <c r="M98" s="609"/>
      <c r="N98" s="609"/>
      <c r="O98" s="609"/>
      <c r="P98" s="609"/>
    </row>
    <row r="99" spans="1:16" ht="22.2">
      <c r="A99" s="609"/>
      <c r="B99" s="609"/>
      <c r="C99" s="608"/>
      <c r="D99" s="609"/>
      <c r="E99" s="1078" t="s">
        <v>234</v>
      </c>
      <c r="F99" s="1078"/>
      <c r="G99" s="1078"/>
      <c r="H99" s="1078"/>
      <c r="I99" s="649"/>
      <c r="J99" s="609"/>
      <c r="K99" s="609"/>
      <c r="L99" s="609"/>
      <c r="M99" s="609"/>
      <c r="N99" s="609"/>
      <c r="O99" s="609"/>
      <c r="P99" s="609"/>
    </row>
    <row r="100" spans="1:16" ht="15">
      <c r="A100" s="609"/>
      <c r="B100" s="609"/>
      <c r="C100" s="608"/>
      <c r="D100" s="609"/>
      <c r="E100" s="1078" t="s">
        <v>235</v>
      </c>
      <c r="F100" s="1078"/>
      <c r="G100" s="1078"/>
      <c r="H100" s="1078"/>
      <c r="I100" s="648"/>
      <c r="J100" s="609"/>
      <c r="K100" s="609"/>
      <c r="L100" s="609"/>
      <c r="M100" s="609"/>
      <c r="N100" s="609"/>
      <c r="O100" s="609"/>
      <c r="P100" s="609"/>
    </row>
    <row r="101" spans="1:16" ht="22.2">
      <c r="A101" s="609"/>
      <c r="B101" s="609"/>
      <c r="C101" s="608"/>
      <c r="D101" s="609"/>
      <c r="E101" s="1078" t="s">
        <v>236</v>
      </c>
      <c r="F101" s="1078"/>
      <c r="G101" s="1078"/>
      <c r="H101" s="1078"/>
      <c r="I101" s="649"/>
      <c r="J101" s="609"/>
      <c r="K101" s="609"/>
      <c r="L101" s="609"/>
      <c r="M101" s="609"/>
      <c r="N101" s="609"/>
      <c r="O101" s="609"/>
      <c r="P101" s="609"/>
    </row>
    <row r="102" spans="1:16" ht="15">
      <c r="A102" s="609"/>
      <c r="B102" s="609"/>
      <c r="C102" s="608"/>
      <c r="D102" s="609"/>
      <c r="E102" s="1078" t="s">
        <v>237</v>
      </c>
      <c r="F102" s="1078"/>
      <c r="G102" s="1078"/>
      <c r="H102" s="1078"/>
      <c r="I102" s="648"/>
      <c r="J102" s="609"/>
      <c r="K102" s="609"/>
      <c r="L102" s="609"/>
      <c r="M102" s="609"/>
      <c r="N102" s="609"/>
      <c r="O102" s="609"/>
      <c r="P102" s="609"/>
    </row>
    <row r="103" spans="1:16" ht="15">
      <c r="A103" s="609"/>
      <c r="B103" s="609"/>
      <c r="C103" s="608"/>
      <c r="D103" s="609"/>
      <c r="E103" s="1078" t="s">
        <v>238</v>
      </c>
      <c r="F103" s="1078"/>
      <c r="G103" s="1078"/>
      <c r="H103" s="1078"/>
      <c r="I103" s="648"/>
      <c r="J103" s="609"/>
      <c r="K103" s="609"/>
      <c r="L103" s="609"/>
      <c r="M103" s="609"/>
      <c r="N103" s="609"/>
      <c r="O103" s="609"/>
      <c r="P103" s="609"/>
    </row>
    <row r="104" spans="1:16" ht="22.2">
      <c r="A104" s="609"/>
      <c r="B104" s="609"/>
      <c r="C104" s="608"/>
      <c r="D104" s="609"/>
      <c r="E104" s="1078" t="s">
        <v>239</v>
      </c>
      <c r="F104" s="1078"/>
      <c r="G104" s="1078"/>
      <c r="H104" s="1078"/>
      <c r="I104" s="649"/>
      <c r="J104" s="609"/>
      <c r="K104" s="609"/>
      <c r="L104" s="609"/>
      <c r="M104" s="609"/>
      <c r="N104" s="609"/>
      <c r="O104" s="609"/>
      <c r="P104" s="609"/>
    </row>
    <row r="105" spans="1:16" ht="22.2">
      <c r="A105" s="609"/>
      <c r="B105" s="609"/>
      <c r="C105" s="608"/>
      <c r="D105" s="609"/>
      <c r="E105" s="1078" t="s">
        <v>240</v>
      </c>
      <c r="F105" s="1078"/>
      <c r="G105" s="1078"/>
      <c r="H105" s="1078"/>
      <c r="I105" s="649"/>
      <c r="J105" s="609"/>
      <c r="K105" s="609"/>
      <c r="L105" s="609"/>
      <c r="M105" s="609"/>
      <c r="N105" s="609"/>
      <c r="O105" s="609"/>
      <c r="P105" s="609"/>
    </row>
    <row r="106" spans="1:16" ht="15">
      <c r="A106" s="609"/>
      <c r="B106" s="609"/>
      <c r="C106" s="608"/>
      <c r="D106" s="609"/>
      <c r="E106" s="1078" t="s">
        <v>241</v>
      </c>
      <c r="F106" s="1078"/>
      <c r="G106" s="1078"/>
      <c r="H106" s="1078"/>
      <c r="I106" s="648"/>
      <c r="J106" s="609"/>
      <c r="K106" s="609"/>
      <c r="L106" s="609"/>
      <c r="M106" s="609"/>
      <c r="N106" s="609"/>
      <c r="O106" s="609"/>
      <c r="P106" s="609"/>
    </row>
    <row r="107" spans="1:16" ht="15">
      <c r="A107" s="609"/>
      <c r="B107" s="609"/>
      <c r="C107" s="608"/>
      <c r="D107" s="609"/>
      <c r="E107" s="1078" t="s">
        <v>242</v>
      </c>
      <c r="F107" s="1078"/>
      <c r="G107" s="1078"/>
      <c r="H107" s="1078"/>
      <c r="I107" s="648"/>
      <c r="J107" s="609"/>
      <c r="K107" s="609"/>
      <c r="L107" s="609"/>
      <c r="M107" s="609"/>
      <c r="N107" s="609"/>
      <c r="O107" s="609"/>
      <c r="P107" s="609"/>
    </row>
    <row r="108" spans="1:16" ht="20.399999999999999">
      <c r="A108" s="609"/>
      <c r="B108" s="609"/>
      <c r="C108" s="608"/>
      <c r="D108" s="609"/>
      <c r="E108" s="610"/>
      <c r="F108" s="610"/>
      <c r="G108" s="650"/>
      <c r="H108" s="650"/>
      <c r="I108" s="612"/>
      <c r="J108" s="609"/>
      <c r="K108" s="609"/>
      <c r="L108" s="609"/>
      <c r="M108" s="609"/>
      <c r="N108" s="609"/>
      <c r="O108" s="609"/>
      <c r="P108" s="609"/>
    </row>
    <row r="109" spans="1:16" ht="20.399999999999999">
      <c r="A109" s="609"/>
      <c r="B109" s="609"/>
      <c r="C109" s="608"/>
      <c r="D109" s="609"/>
      <c r="E109" s="1079" t="s">
        <v>1219</v>
      </c>
      <c r="F109" s="1079"/>
      <c r="G109" s="1080"/>
      <c r="H109" s="1080"/>
      <c r="I109" s="622"/>
      <c r="J109" s="623"/>
      <c r="K109" s="623"/>
      <c r="L109" s="623"/>
      <c r="M109" s="623"/>
      <c r="N109" s="623"/>
      <c r="O109" s="624"/>
      <c r="P109" s="624"/>
    </row>
    <row r="110" spans="1:16" ht="20.399999999999999">
      <c r="A110" s="609"/>
      <c r="B110" s="609"/>
      <c r="C110" s="608"/>
      <c r="D110" s="609"/>
      <c r="E110" s="1069" t="s">
        <v>243</v>
      </c>
      <c r="F110" s="1070"/>
      <c r="G110" s="651" t="s">
        <v>1298</v>
      </c>
      <c r="H110" s="652" t="s">
        <v>21</v>
      </c>
      <c r="I110" s="617"/>
      <c r="J110" s="623" t="s">
        <v>1645</v>
      </c>
      <c r="K110" s="623"/>
      <c r="L110" s="623"/>
      <c r="M110" s="623"/>
      <c r="N110" s="623"/>
      <c r="O110" s="624"/>
      <c r="P110" s="624"/>
    </row>
    <row r="111" spans="1:16" ht="20.399999999999999">
      <c r="A111" s="609"/>
      <c r="B111" s="609"/>
      <c r="C111" s="608"/>
      <c r="D111" s="609"/>
      <c r="E111" s="1069"/>
      <c r="F111" s="1070"/>
      <c r="G111" s="651" t="s">
        <v>213</v>
      </c>
      <c r="H111" s="653" t="s">
        <v>773</v>
      </c>
      <c r="I111" s="617"/>
      <c r="J111" s="623" t="s">
        <v>1646</v>
      </c>
      <c r="K111" s="623"/>
      <c r="L111" s="623"/>
      <c r="M111" s="623"/>
      <c r="N111" s="623"/>
      <c r="O111" s="624"/>
      <c r="P111" s="624"/>
    </row>
    <row r="112" spans="1:16" ht="20.399999999999999">
      <c r="A112" s="609"/>
      <c r="B112" s="609"/>
      <c r="C112" s="608"/>
      <c r="D112" s="609"/>
      <c r="E112" s="1070"/>
      <c r="F112" s="1070"/>
      <c r="G112" s="651" t="s">
        <v>214</v>
      </c>
      <c r="H112" s="654" t="s">
        <v>2953</v>
      </c>
      <c r="I112" s="617"/>
      <c r="J112" s="609" t="s">
        <v>1647</v>
      </c>
      <c r="K112" s="609"/>
      <c r="L112" s="609"/>
      <c r="M112" s="609"/>
      <c r="N112" s="609"/>
      <c r="O112" s="609"/>
      <c r="P112" s="609"/>
    </row>
    <row r="113" spans="1:16" ht="20.399999999999999">
      <c r="A113" s="609"/>
      <c r="B113" s="609"/>
      <c r="C113" s="608"/>
      <c r="D113" s="609"/>
      <c r="E113" s="1070"/>
      <c r="F113" s="1070"/>
      <c r="G113" s="651" t="s">
        <v>215</v>
      </c>
      <c r="H113" s="655" t="s">
        <v>2941</v>
      </c>
      <c r="I113" s="617"/>
      <c r="J113" s="609" t="s">
        <v>1648</v>
      </c>
      <c r="K113" s="609"/>
      <c r="L113" s="609"/>
      <c r="M113" s="609"/>
      <c r="N113" s="609"/>
      <c r="O113" s="609"/>
      <c r="P113" s="609"/>
    </row>
    <row r="114" spans="1:16" ht="20.399999999999999">
      <c r="A114" s="609"/>
      <c r="B114" s="609"/>
      <c r="C114" s="608"/>
      <c r="D114" s="656" t="s">
        <v>1027</v>
      </c>
      <c r="E114" s="1083" t="s">
        <v>3003</v>
      </c>
      <c r="F114" s="1084"/>
      <c r="G114" s="657"/>
      <c r="H114" s="658"/>
      <c r="I114" s="612"/>
      <c r="J114" s="609"/>
      <c r="K114" s="609"/>
      <c r="L114" s="659"/>
      <c r="M114" s="609"/>
      <c r="N114" s="609"/>
      <c r="O114" s="609"/>
      <c r="P114" s="609"/>
    </row>
    <row r="115" spans="1:16" ht="20.399999999999999">
      <c r="A115" s="612"/>
      <c r="B115" s="609"/>
      <c r="C115" s="608"/>
      <c r="D115" s="1089" t="s">
        <v>18</v>
      </c>
      <c r="E115" s="1083"/>
      <c r="F115" s="1084"/>
      <c r="G115" s="660" t="s">
        <v>3004</v>
      </c>
      <c r="H115" s="661" t="s">
        <v>998</v>
      </c>
      <c r="I115" s="662"/>
      <c r="J115" s="609" t="s">
        <v>3005</v>
      </c>
      <c r="K115" s="609" t="s">
        <v>1319</v>
      </c>
      <c r="L115" s="659" t="s">
        <v>2929</v>
      </c>
      <c r="M115" s="609">
        <v>0</v>
      </c>
      <c r="N115" s="609" t="s">
        <v>1000</v>
      </c>
      <c r="O115" s="609"/>
      <c r="P115" s="609"/>
    </row>
    <row r="116" spans="1:16" ht="20.399999999999999">
      <c r="A116" s="612"/>
      <c r="B116" s="609"/>
      <c r="C116" s="608"/>
      <c r="D116" s="1090"/>
      <c r="E116" s="1083"/>
      <c r="F116" s="1084"/>
      <c r="G116" s="663" t="s">
        <v>1211</v>
      </c>
      <c r="H116" s="636" t="s">
        <v>2952</v>
      </c>
      <c r="I116" s="301"/>
      <c r="J116" s="609"/>
      <c r="K116" s="609"/>
      <c r="L116" s="609"/>
      <c r="M116" s="609"/>
      <c r="N116" s="609"/>
      <c r="O116" s="609"/>
      <c r="P116" s="609"/>
    </row>
    <row r="117" spans="1:16" ht="20.399999999999999">
      <c r="A117" s="612"/>
      <c r="B117" s="609"/>
      <c r="C117" s="608"/>
      <c r="D117" s="1090"/>
      <c r="E117" s="1083"/>
      <c r="F117" s="1084"/>
      <c r="G117" s="663" t="s">
        <v>244</v>
      </c>
      <c r="H117" s="664" t="s">
        <v>2929</v>
      </c>
      <c r="I117" s="301"/>
      <c r="J117" s="609"/>
      <c r="K117" s="609"/>
      <c r="L117" s="609"/>
      <c r="M117" s="609"/>
      <c r="N117" s="609"/>
      <c r="O117" s="609"/>
      <c r="P117" s="609"/>
    </row>
    <row r="118" spans="1:16" ht="20.399999999999999">
      <c r="A118" s="612"/>
      <c r="B118" s="609"/>
      <c r="C118" s="608"/>
      <c r="D118" s="1090"/>
      <c r="E118" s="1083"/>
      <c r="F118" s="1084"/>
      <c r="G118" s="663" t="s">
        <v>245</v>
      </c>
      <c r="H118" s="665" t="s">
        <v>1000</v>
      </c>
      <c r="I118" s="301"/>
      <c r="J118" s="609"/>
      <c r="K118" s="609"/>
      <c r="L118" s="609"/>
      <c r="M118" s="609"/>
      <c r="N118" s="609"/>
      <c r="O118" s="609"/>
      <c r="P118" s="609"/>
    </row>
    <row r="119" spans="1:16" ht="20.399999999999999">
      <c r="A119" s="612"/>
      <c r="B119" s="609"/>
      <c r="C119" s="608"/>
      <c r="D119" s="1090"/>
      <c r="E119" s="1083"/>
      <c r="F119" s="1084"/>
      <c r="G119" s="663" t="s">
        <v>246</v>
      </c>
      <c r="H119" s="636" t="s">
        <v>2930</v>
      </c>
      <c r="I119" s="608"/>
      <c r="J119" s="609"/>
      <c r="K119" s="609"/>
      <c r="L119" s="609"/>
      <c r="M119" s="609"/>
      <c r="N119" s="609"/>
      <c r="O119" s="609"/>
      <c r="P119" s="609"/>
    </row>
    <row r="120" spans="1:16" ht="20.399999999999999">
      <c r="A120" s="612"/>
      <c r="B120" s="609"/>
      <c r="C120" s="608"/>
      <c r="D120" s="1090"/>
      <c r="E120" s="1083"/>
      <c r="F120" s="1084"/>
      <c r="G120" s="666" t="s">
        <v>3006</v>
      </c>
      <c r="H120" s="665" t="s">
        <v>1319</v>
      </c>
      <c r="I120" s="301"/>
      <c r="J120" s="609"/>
      <c r="K120" s="609"/>
      <c r="L120" s="609"/>
      <c r="M120" s="609"/>
      <c r="N120" s="609"/>
      <c r="O120" s="609"/>
      <c r="P120" s="609"/>
    </row>
    <row r="121" spans="1:16" ht="20.399999999999999">
      <c r="A121" s="612"/>
      <c r="B121" s="609"/>
      <c r="C121" s="609"/>
      <c r="D121" s="1090"/>
      <c r="E121" s="1083"/>
      <c r="F121" s="1084"/>
      <c r="G121" s="666" t="s">
        <v>1005</v>
      </c>
      <c r="H121" s="667"/>
      <c r="I121" s="301"/>
      <c r="J121" s="609"/>
      <c r="K121" s="609"/>
      <c r="L121" s="609"/>
      <c r="M121" s="609"/>
      <c r="N121" s="609"/>
      <c r="O121" s="609"/>
      <c r="P121" s="609"/>
    </row>
    <row r="122" spans="1:16" ht="20.399999999999999">
      <c r="A122" s="612"/>
      <c r="B122" s="609" t="b">
        <v>1</v>
      </c>
      <c r="C122" s="608"/>
      <c r="D122" s="1090"/>
      <c r="E122" s="1083"/>
      <c r="F122" s="1084"/>
      <c r="G122" s="663" t="s">
        <v>247</v>
      </c>
      <c r="H122" s="668" t="s">
        <v>2954</v>
      </c>
      <c r="I122" s="301"/>
      <c r="J122" s="609"/>
      <c r="K122" s="609"/>
      <c r="L122" s="609"/>
      <c r="M122" s="609"/>
      <c r="N122" s="609"/>
      <c r="O122" s="609"/>
      <c r="P122" s="609"/>
    </row>
    <row r="123" spans="1:16" ht="20.399999999999999">
      <c r="A123" s="612"/>
      <c r="B123" s="609" t="b">
        <v>1</v>
      </c>
      <c r="C123" s="608"/>
      <c r="D123" s="1090"/>
      <c r="E123" s="1083"/>
      <c r="F123" s="1084"/>
      <c r="G123" s="663" t="s">
        <v>248</v>
      </c>
      <c r="H123" s="655">
        <v>45040</v>
      </c>
      <c r="I123" s="301"/>
      <c r="J123" s="609"/>
      <c r="K123" s="609"/>
      <c r="L123" s="609"/>
      <c r="M123" s="609"/>
      <c r="N123" s="609"/>
      <c r="O123" s="609"/>
      <c r="P123" s="609"/>
    </row>
    <row r="124" spans="1:16" ht="20.399999999999999">
      <c r="A124" s="612"/>
      <c r="B124" s="609" t="b">
        <v>1</v>
      </c>
      <c r="C124" s="608"/>
      <c r="D124" s="1090"/>
      <c r="E124" s="1083"/>
      <c r="F124" s="1084"/>
      <c r="G124" s="663" t="s">
        <v>1157</v>
      </c>
      <c r="H124" s="668"/>
      <c r="I124" s="301"/>
      <c r="J124" s="609"/>
      <c r="K124" s="609"/>
      <c r="L124" s="609"/>
      <c r="M124" s="609"/>
      <c r="N124" s="609"/>
      <c r="O124" s="609"/>
      <c r="P124" s="609"/>
    </row>
    <row r="125" spans="1:16" ht="20.399999999999999">
      <c r="A125" s="612"/>
      <c r="B125" s="609" t="b">
        <v>1</v>
      </c>
      <c r="C125" s="608"/>
      <c r="D125" s="1090"/>
      <c r="E125" s="1083"/>
      <c r="F125" s="1084"/>
      <c r="G125" s="663" t="s">
        <v>249</v>
      </c>
      <c r="H125" s="635" t="s">
        <v>250</v>
      </c>
      <c r="I125" s="301"/>
      <c r="J125" s="609"/>
      <c r="K125" s="609"/>
      <c r="L125" s="609"/>
      <c r="M125" s="609"/>
      <c r="N125" s="609"/>
      <c r="O125" s="609"/>
      <c r="P125" s="609"/>
    </row>
    <row r="126" spans="1:16" ht="22.8">
      <c r="A126" s="612"/>
      <c r="B126" s="609" t="b">
        <v>1</v>
      </c>
      <c r="C126" s="608"/>
      <c r="D126" s="1090"/>
      <c r="E126" s="1083"/>
      <c r="F126" s="1084"/>
      <c r="G126" s="669" t="s">
        <v>3007</v>
      </c>
      <c r="H126" s="665">
        <v>2020</v>
      </c>
      <c r="I126" s="301"/>
      <c r="J126" s="609"/>
      <c r="K126" s="609"/>
      <c r="L126" s="609"/>
      <c r="M126" s="609"/>
      <c r="N126" s="609"/>
      <c r="O126" s="609"/>
      <c r="P126" s="609"/>
    </row>
    <row r="127" spans="1:16" ht="20.399999999999999">
      <c r="A127" s="612"/>
      <c r="B127" s="609" t="b">
        <v>1</v>
      </c>
      <c r="C127" s="608"/>
      <c r="D127" s="1090"/>
      <c r="E127" s="1083"/>
      <c r="F127" s="1084"/>
      <c r="G127" s="663" t="s">
        <v>251</v>
      </c>
      <c r="H127" s="670">
        <v>5</v>
      </c>
      <c r="I127" s="301"/>
      <c r="J127" s="609"/>
      <c r="K127" s="609"/>
      <c r="L127" s="609"/>
      <c r="M127" s="609"/>
      <c r="N127" s="609"/>
      <c r="O127" s="609"/>
      <c r="P127" s="609"/>
    </row>
    <row r="128" spans="1:16" ht="20.399999999999999">
      <c r="A128" s="612"/>
      <c r="B128" s="609"/>
      <c r="C128" s="608"/>
      <c r="D128" s="1089" t="s">
        <v>102</v>
      </c>
      <c r="E128" s="1083"/>
      <c r="F128" s="1084"/>
      <c r="G128" s="660" t="s">
        <v>3008</v>
      </c>
      <c r="H128" s="661" t="s">
        <v>998</v>
      </c>
      <c r="I128" s="662"/>
      <c r="J128" s="609" t="s">
        <v>3009</v>
      </c>
      <c r="K128" s="609" t="s">
        <v>1319</v>
      </c>
      <c r="L128" s="659" t="s">
        <v>2929</v>
      </c>
      <c r="M128" s="609">
        <v>0</v>
      </c>
      <c r="N128" s="609" t="s">
        <v>1000</v>
      </c>
      <c r="O128" s="609"/>
      <c r="P128" s="609"/>
    </row>
    <row r="129" spans="1:16" ht="20.399999999999999">
      <c r="A129" s="612"/>
      <c r="B129" s="609"/>
      <c r="C129" s="608"/>
      <c r="D129" s="1090"/>
      <c r="E129" s="1083"/>
      <c r="F129" s="1084"/>
      <c r="G129" s="663" t="s">
        <v>1211</v>
      </c>
      <c r="H129" s="636" t="s">
        <v>2955</v>
      </c>
      <c r="I129" s="301"/>
      <c r="J129" s="609"/>
      <c r="K129" s="609"/>
      <c r="L129" s="609"/>
      <c r="M129" s="609"/>
      <c r="N129" s="609"/>
      <c r="O129" s="609"/>
      <c r="P129" s="609"/>
    </row>
    <row r="130" spans="1:16" ht="20.399999999999999">
      <c r="A130" s="612"/>
      <c r="B130" s="609"/>
      <c r="C130" s="608"/>
      <c r="D130" s="1090"/>
      <c r="E130" s="1083"/>
      <c r="F130" s="1084"/>
      <c r="G130" s="663" t="s">
        <v>244</v>
      </c>
      <c r="H130" s="664" t="s">
        <v>2929</v>
      </c>
      <c r="I130" s="301"/>
      <c r="J130" s="609"/>
      <c r="K130" s="609"/>
      <c r="L130" s="609"/>
      <c r="M130" s="609"/>
      <c r="N130" s="609"/>
      <c r="O130" s="609"/>
      <c r="P130" s="609"/>
    </row>
    <row r="131" spans="1:16" ht="20.399999999999999">
      <c r="A131" s="612"/>
      <c r="B131" s="609"/>
      <c r="C131" s="608"/>
      <c r="D131" s="1090"/>
      <c r="E131" s="1083"/>
      <c r="F131" s="1084"/>
      <c r="G131" s="663" t="s">
        <v>245</v>
      </c>
      <c r="H131" s="665" t="s">
        <v>1000</v>
      </c>
      <c r="I131" s="301"/>
      <c r="J131" s="609"/>
      <c r="K131" s="609"/>
      <c r="L131" s="609"/>
      <c r="M131" s="609"/>
      <c r="N131" s="609"/>
      <c r="O131" s="609"/>
      <c r="P131" s="609"/>
    </row>
    <row r="132" spans="1:16" ht="20.399999999999999">
      <c r="A132" s="612"/>
      <c r="B132" s="609"/>
      <c r="C132" s="608"/>
      <c r="D132" s="1090"/>
      <c r="E132" s="1083"/>
      <c r="F132" s="1084"/>
      <c r="G132" s="663" t="s">
        <v>246</v>
      </c>
      <c r="H132" s="636" t="s">
        <v>2930</v>
      </c>
      <c r="I132" s="608"/>
      <c r="J132" s="609"/>
      <c r="K132" s="609"/>
      <c r="L132" s="609"/>
      <c r="M132" s="609"/>
      <c r="N132" s="609"/>
      <c r="O132" s="609"/>
      <c r="P132" s="609"/>
    </row>
    <row r="133" spans="1:16" ht="20.399999999999999">
      <c r="A133" s="612"/>
      <c r="B133" s="609"/>
      <c r="C133" s="608"/>
      <c r="D133" s="1090"/>
      <c r="E133" s="1083"/>
      <c r="F133" s="1084"/>
      <c r="G133" s="666" t="s">
        <v>3006</v>
      </c>
      <c r="H133" s="665" t="s">
        <v>1319</v>
      </c>
      <c r="I133" s="301"/>
      <c r="J133" s="609"/>
      <c r="K133" s="609"/>
      <c r="L133" s="609"/>
      <c r="M133" s="609"/>
      <c r="N133" s="609"/>
      <c r="O133" s="609"/>
      <c r="P133" s="609"/>
    </row>
    <row r="134" spans="1:16" ht="20.399999999999999">
      <c r="A134" s="612"/>
      <c r="B134" s="609"/>
      <c r="C134" s="609"/>
      <c r="D134" s="1090"/>
      <c r="E134" s="1083"/>
      <c r="F134" s="1084"/>
      <c r="G134" s="666" t="s">
        <v>1005</v>
      </c>
      <c r="H134" s="667"/>
      <c r="I134" s="301"/>
      <c r="J134" s="609"/>
      <c r="K134" s="609"/>
      <c r="L134" s="609"/>
      <c r="M134" s="609"/>
      <c r="N134" s="609"/>
      <c r="O134" s="609"/>
      <c r="P134" s="609"/>
    </row>
    <row r="135" spans="1:16" ht="20.399999999999999">
      <c r="A135" s="612"/>
      <c r="B135" s="609" t="b">
        <v>1</v>
      </c>
      <c r="C135" s="608"/>
      <c r="D135" s="1090"/>
      <c r="E135" s="1083"/>
      <c r="F135" s="1084"/>
      <c r="G135" s="663" t="s">
        <v>247</v>
      </c>
      <c r="H135" s="668" t="s">
        <v>2954</v>
      </c>
      <c r="I135" s="301"/>
      <c r="J135" s="609"/>
      <c r="K135" s="609"/>
      <c r="L135" s="609"/>
      <c r="M135" s="609"/>
      <c r="N135" s="609"/>
      <c r="O135" s="609"/>
      <c r="P135" s="609"/>
    </row>
    <row r="136" spans="1:16" ht="20.399999999999999">
      <c r="A136" s="612"/>
      <c r="B136" s="609" t="b">
        <v>1</v>
      </c>
      <c r="C136" s="608"/>
      <c r="D136" s="1090"/>
      <c r="E136" s="1083"/>
      <c r="F136" s="1084"/>
      <c r="G136" s="663" t="s">
        <v>248</v>
      </c>
      <c r="H136" s="655">
        <v>45040</v>
      </c>
      <c r="I136" s="301"/>
      <c r="J136" s="609"/>
      <c r="K136" s="609"/>
      <c r="L136" s="609"/>
      <c r="M136" s="609"/>
      <c r="N136" s="609"/>
      <c r="O136" s="609"/>
      <c r="P136" s="609"/>
    </row>
    <row r="137" spans="1:16" ht="20.399999999999999">
      <c r="A137" s="612"/>
      <c r="B137" s="609" t="b">
        <v>1</v>
      </c>
      <c r="C137" s="608"/>
      <c r="D137" s="1090"/>
      <c r="E137" s="1083"/>
      <c r="F137" s="1084"/>
      <c r="G137" s="663" t="s">
        <v>1157</v>
      </c>
      <c r="H137" s="668"/>
      <c r="I137" s="301"/>
      <c r="J137" s="609"/>
      <c r="K137" s="609"/>
      <c r="L137" s="609"/>
      <c r="M137" s="609"/>
      <c r="N137" s="609"/>
      <c r="O137" s="609"/>
      <c r="P137" s="609"/>
    </row>
    <row r="138" spans="1:16" ht="20.399999999999999">
      <c r="A138" s="612"/>
      <c r="B138" s="609" t="b">
        <v>1</v>
      </c>
      <c r="C138" s="608"/>
      <c r="D138" s="1090"/>
      <c r="E138" s="1083"/>
      <c r="F138" s="1084"/>
      <c r="G138" s="663" t="s">
        <v>249</v>
      </c>
      <c r="H138" s="635" t="s">
        <v>250</v>
      </c>
      <c r="I138" s="301"/>
      <c r="J138" s="609"/>
      <c r="K138" s="609"/>
      <c r="L138" s="609"/>
      <c r="M138" s="609"/>
      <c r="N138" s="609"/>
      <c r="O138" s="609"/>
      <c r="P138" s="609"/>
    </row>
    <row r="139" spans="1:16" ht="22.8">
      <c r="A139" s="612"/>
      <c r="B139" s="609" t="b">
        <v>1</v>
      </c>
      <c r="C139" s="608"/>
      <c r="D139" s="1090"/>
      <c r="E139" s="1083"/>
      <c r="F139" s="1084"/>
      <c r="G139" s="669" t="s">
        <v>3007</v>
      </c>
      <c r="H139" s="665">
        <v>2020</v>
      </c>
      <c r="I139" s="301"/>
      <c r="J139" s="609"/>
      <c r="K139" s="609"/>
      <c r="L139" s="609"/>
      <c r="M139" s="609"/>
      <c r="N139" s="609"/>
      <c r="O139" s="609"/>
      <c r="P139" s="609"/>
    </row>
    <row r="140" spans="1:16" ht="20.399999999999999">
      <c r="A140" s="612"/>
      <c r="B140" s="609" t="b">
        <v>1</v>
      </c>
      <c r="C140" s="608"/>
      <c r="D140" s="1090"/>
      <c r="E140" s="1083"/>
      <c r="F140" s="1084"/>
      <c r="G140" s="663" t="s">
        <v>251</v>
      </c>
      <c r="H140" s="670">
        <v>5</v>
      </c>
      <c r="I140" s="301"/>
      <c r="J140" s="609"/>
      <c r="K140" s="609"/>
      <c r="L140" s="609"/>
      <c r="M140" s="609"/>
      <c r="N140" s="609"/>
      <c r="O140" s="609"/>
      <c r="P140" s="609"/>
    </row>
    <row r="141" spans="1:16" ht="20.399999999999999">
      <c r="A141" s="609"/>
      <c r="B141" s="609"/>
      <c r="C141" s="608"/>
      <c r="D141" s="609"/>
      <c r="E141" s="1071" t="s">
        <v>252</v>
      </c>
      <c r="F141" s="1072"/>
      <c r="G141" s="671" t="s">
        <v>253</v>
      </c>
      <c r="H141" s="643" t="s">
        <v>2942</v>
      </c>
      <c r="I141" s="617"/>
      <c r="J141" s="609" t="s">
        <v>1649</v>
      </c>
      <c r="K141" s="609"/>
      <c r="L141" s="609"/>
      <c r="M141" s="609"/>
      <c r="N141" s="609"/>
      <c r="O141" s="609"/>
      <c r="P141" s="609"/>
    </row>
    <row r="142" spans="1:16" ht="20.399999999999999">
      <c r="A142" s="609"/>
      <c r="B142" s="609"/>
      <c r="C142" s="608"/>
      <c r="D142" s="609"/>
      <c r="E142" s="1071"/>
      <c r="F142" s="1072"/>
      <c r="G142" s="671" t="s">
        <v>254</v>
      </c>
      <c r="H142" s="643" t="s">
        <v>2943</v>
      </c>
      <c r="I142" s="617"/>
      <c r="J142" s="609" t="s">
        <v>1650</v>
      </c>
      <c r="K142" s="609"/>
      <c r="L142" s="609"/>
      <c r="M142" s="609"/>
      <c r="N142" s="609"/>
      <c r="O142" s="609"/>
      <c r="P142" s="609"/>
    </row>
    <row r="143" spans="1:16" ht="20.399999999999999">
      <c r="A143" s="609"/>
      <c r="B143" s="609"/>
      <c r="C143" s="608"/>
      <c r="D143" s="609"/>
      <c r="E143" s="1071"/>
      <c r="F143" s="1072"/>
      <c r="G143" s="671" t="s">
        <v>255</v>
      </c>
      <c r="H143" s="643" t="s">
        <v>2944</v>
      </c>
      <c r="I143" s="617"/>
      <c r="J143" s="609" t="s">
        <v>1651</v>
      </c>
      <c r="K143" s="609"/>
      <c r="L143" s="609"/>
      <c r="M143" s="609"/>
      <c r="N143" s="609"/>
      <c r="O143" s="609"/>
      <c r="P143" s="609"/>
    </row>
    <row r="144" spans="1:16" ht="20.399999999999999">
      <c r="A144" s="609"/>
      <c r="B144" s="609"/>
      <c r="C144" s="608"/>
      <c r="D144" s="609"/>
      <c r="E144" s="1071"/>
      <c r="F144" s="1072"/>
      <c r="G144" s="671" t="s">
        <v>256</v>
      </c>
      <c r="H144" s="643" t="s">
        <v>2945</v>
      </c>
      <c r="I144" s="617"/>
      <c r="J144" s="609" t="s">
        <v>1652</v>
      </c>
      <c r="K144" s="609"/>
      <c r="L144" s="609"/>
      <c r="M144" s="609"/>
      <c r="N144" s="609"/>
      <c r="O144" s="609"/>
      <c r="P144" s="609"/>
    </row>
    <row r="145" spans="1:16" ht="20.399999999999999">
      <c r="A145" s="609"/>
      <c r="B145" s="609"/>
      <c r="C145" s="608"/>
      <c r="D145" s="609"/>
      <c r="E145" s="1071"/>
      <c r="F145" s="1072"/>
      <c r="G145" s="671" t="s">
        <v>257</v>
      </c>
      <c r="H145" s="643" t="s">
        <v>2946</v>
      </c>
      <c r="I145" s="617"/>
      <c r="J145" s="609" t="s">
        <v>1653</v>
      </c>
      <c r="K145" s="609"/>
      <c r="L145" s="609"/>
      <c r="M145" s="609"/>
      <c r="N145" s="609"/>
      <c r="O145" s="609"/>
      <c r="P145" s="609"/>
    </row>
    <row r="146" spans="1:16" ht="20.399999999999999">
      <c r="A146" s="609"/>
      <c r="B146" s="609"/>
      <c r="C146" s="608"/>
      <c r="D146" s="609"/>
      <c r="E146" s="1071"/>
      <c r="F146" s="1072"/>
      <c r="G146" s="671" t="s">
        <v>258</v>
      </c>
      <c r="H146" s="664" t="s">
        <v>250</v>
      </c>
      <c r="I146" s="617"/>
      <c r="J146" s="609"/>
      <c r="K146" s="609"/>
      <c r="L146" s="609"/>
      <c r="M146" s="609"/>
      <c r="N146" s="609"/>
      <c r="O146" s="609"/>
      <c r="P146" s="609"/>
    </row>
    <row r="147" spans="1:16" ht="20.399999999999999">
      <c r="A147" s="609"/>
      <c r="B147" s="609"/>
      <c r="C147" s="608"/>
      <c r="D147" s="609"/>
      <c r="E147" s="1071"/>
      <c r="F147" s="1072"/>
      <c r="G147" s="671" t="s">
        <v>259</v>
      </c>
      <c r="H147" s="672">
        <v>2024</v>
      </c>
      <c r="I147" s="617"/>
      <c r="J147" s="609"/>
      <c r="K147" s="609"/>
      <c r="L147" s="609"/>
      <c r="M147" s="609"/>
      <c r="N147" s="609"/>
      <c r="O147" s="609"/>
      <c r="P147" s="609"/>
    </row>
    <row r="148" spans="1:16" ht="20.399999999999999">
      <c r="A148" s="609"/>
      <c r="B148" s="609"/>
      <c r="C148" s="608"/>
      <c r="D148" s="609"/>
      <c r="E148" s="1071"/>
      <c r="F148" s="1072"/>
      <c r="G148" s="671" t="s">
        <v>899</v>
      </c>
      <c r="H148" s="672">
        <v>2020</v>
      </c>
      <c r="I148" s="617"/>
      <c r="J148" s="609"/>
      <c r="K148" s="609"/>
      <c r="L148" s="609"/>
      <c r="M148" s="609"/>
      <c r="N148" s="609"/>
      <c r="O148" s="609"/>
      <c r="P148" s="609"/>
    </row>
    <row r="149" spans="1:16" ht="20.399999999999999">
      <c r="A149" s="609"/>
      <c r="B149" s="609"/>
      <c r="C149" s="608"/>
      <c r="D149" s="609"/>
      <c r="E149" s="1073"/>
      <c r="F149" s="1074"/>
      <c r="G149" s="671" t="s">
        <v>251</v>
      </c>
      <c r="H149" s="672">
        <v>5</v>
      </c>
      <c r="I149" s="617"/>
      <c r="J149" s="609"/>
      <c r="K149" s="609"/>
      <c r="L149" s="609"/>
      <c r="M149" s="609"/>
      <c r="N149" s="609"/>
      <c r="O149" s="609"/>
      <c r="P149" s="609"/>
    </row>
    <row r="150" spans="1:16" ht="24.6">
      <c r="A150" s="609"/>
      <c r="B150" s="609"/>
      <c r="C150" s="608"/>
      <c r="D150" s="609"/>
      <c r="E150" s="1075" t="s">
        <v>260</v>
      </c>
      <c r="F150" s="1076"/>
      <c r="G150" s="1077"/>
      <c r="H150" s="635" t="s">
        <v>20</v>
      </c>
      <c r="I150" s="637"/>
      <c r="J150" s="609"/>
      <c r="K150" s="609"/>
      <c r="L150" s="609"/>
      <c r="M150" s="609"/>
      <c r="N150" s="609"/>
      <c r="O150" s="609"/>
      <c r="P150" s="609"/>
    </row>
    <row r="151" spans="1:16">
      <c r="A151" s="609"/>
      <c r="B151" s="609"/>
      <c r="C151" s="608"/>
      <c r="D151" s="609"/>
      <c r="E151" s="610"/>
      <c r="F151" s="610"/>
      <c r="G151" s="610"/>
      <c r="H151" s="610"/>
      <c r="I151" s="609"/>
      <c r="J151" s="609"/>
      <c r="K151" s="609"/>
      <c r="L151" s="609"/>
      <c r="M151" s="609"/>
      <c r="N151" s="609"/>
      <c r="O151" s="609"/>
      <c r="P151" s="609"/>
    </row>
    <row r="152" spans="1:16" ht="20.399999999999999">
      <c r="A152" s="609"/>
      <c r="B152" s="609"/>
      <c r="C152" s="608"/>
      <c r="D152" s="609"/>
      <c r="E152" s="1075" t="s">
        <v>1134</v>
      </c>
      <c r="F152" s="1076"/>
      <c r="G152" s="1077"/>
      <c r="H152" s="635" t="s">
        <v>20</v>
      </c>
      <c r="I152" s="617"/>
      <c r="J152" s="609" t="s">
        <v>1456</v>
      </c>
      <c r="K152" s="609"/>
      <c r="L152" s="609"/>
      <c r="M152" s="609"/>
      <c r="N152" s="609"/>
      <c r="O152" s="609"/>
      <c r="P152" s="609"/>
    </row>
    <row r="154" spans="1:16">
      <c r="E154" s="1041" t="str">
        <f>$H$143</f>
        <v>главный консультант отдела регулирования ЖКК</v>
      </c>
      <c r="F154" s="1036"/>
      <c r="G154" s="1040" t="str">
        <f>$H$142</f>
        <v>Мизурева Н.Е.</v>
      </c>
      <c r="H154" s="1038"/>
    </row>
    <row r="155" spans="1:16">
      <c r="E155" s="1037" t="s">
        <v>3245</v>
      </c>
      <c r="G155" s="1039" t="s">
        <v>3246</v>
      </c>
      <c r="H155" s="1039" t="s">
        <v>3247</v>
      </c>
    </row>
  </sheetData>
  <sheetProtection formatColumns="0" formatRows="0" autoFilter="0"/>
  <mergeCells count="107">
    <mergeCell ref="D115:D127"/>
    <mergeCell ref="D128:D140"/>
    <mergeCell ref="E152:G152"/>
    <mergeCell ref="E7:G7"/>
    <mergeCell ref="E14:H14"/>
    <mergeCell ref="E15:H15"/>
    <mergeCell ref="E16:H16"/>
    <mergeCell ref="E17:H17"/>
    <mergeCell ref="E18:H18"/>
    <mergeCell ref="E24:G24"/>
    <mergeCell ref="E25:G25"/>
    <mergeCell ref="E26:G26"/>
    <mergeCell ref="E27:G27"/>
    <mergeCell ref="E28:G28"/>
    <mergeCell ref="E19:H19"/>
    <mergeCell ref="E20:H20"/>
    <mergeCell ref="E42:G42"/>
    <mergeCell ref="E43:G43"/>
    <mergeCell ref="E44:G44"/>
    <mergeCell ref="E45:G45"/>
    <mergeCell ref="E46:G46"/>
    <mergeCell ref="E47:E51"/>
    <mergeCell ref="F47:G47"/>
    <mergeCell ref="F48:G48"/>
    <mergeCell ref="F49:G49"/>
    <mergeCell ref="F50:G50"/>
    <mergeCell ref="L20:M20"/>
    <mergeCell ref="E21:H21"/>
    <mergeCell ref="E22:G22"/>
    <mergeCell ref="E23:G23"/>
    <mergeCell ref="E35:G35"/>
    <mergeCell ref="E36:G36"/>
    <mergeCell ref="E37:F39"/>
    <mergeCell ref="E40:G40"/>
    <mergeCell ref="E41:G41"/>
    <mergeCell ref="E29:G29"/>
    <mergeCell ref="E30:G30"/>
    <mergeCell ref="E31:G31"/>
    <mergeCell ref="E32:G32"/>
    <mergeCell ref="E33:G33"/>
    <mergeCell ref="E34:G34"/>
    <mergeCell ref="E58:G58"/>
    <mergeCell ref="E59:E63"/>
    <mergeCell ref="F59:G59"/>
    <mergeCell ref="F60:G60"/>
    <mergeCell ref="F61:G61"/>
    <mergeCell ref="F62:G62"/>
    <mergeCell ref="F63:G63"/>
    <mergeCell ref="F51:G51"/>
    <mergeCell ref="E52:G52"/>
    <mergeCell ref="E53:E57"/>
    <mergeCell ref="F53:G53"/>
    <mergeCell ref="F54:G54"/>
    <mergeCell ref="F55:G55"/>
    <mergeCell ref="F56:G56"/>
    <mergeCell ref="F57:G57"/>
    <mergeCell ref="E71:G71"/>
    <mergeCell ref="E72:E77"/>
    <mergeCell ref="F72:G72"/>
    <mergeCell ref="F73:G73"/>
    <mergeCell ref="F74:G74"/>
    <mergeCell ref="F75:G75"/>
    <mergeCell ref="F76:G76"/>
    <mergeCell ref="F77:G77"/>
    <mergeCell ref="E64:G64"/>
    <mergeCell ref="E65:E70"/>
    <mergeCell ref="F65:G65"/>
    <mergeCell ref="F66:G66"/>
    <mergeCell ref="F67:G67"/>
    <mergeCell ref="F68:G68"/>
    <mergeCell ref="F69:G69"/>
    <mergeCell ref="F70:G70"/>
    <mergeCell ref="E95:H95"/>
    <mergeCell ref="E96:H96"/>
    <mergeCell ref="E78:G78"/>
    <mergeCell ref="E79:E84"/>
    <mergeCell ref="F79:G79"/>
    <mergeCell ref="F80:G80"/>
    <mergeCell ref="F81:G81"/>
    <mergeCell ref="F82:G82"/>
    <mergeCell ref="F83:G83"/>
    <mergeCell ref="F84:G84"/>
    <mergeCell ref="E86:G86"/>
    <mergeCell ref="E11:G11"/>
    <mergeCell ref="E110:F113"/>
    <mergeCell ref="E141:F149"/>
    <mergeCell ref="E150:G150"/>
    <mergeCell ref="E8:G8"/>
    <mergeCell ref="E9:G9"/>
    <mergeCell ref="E10:G10"/>
    <mergeCell ref="E103:H103"/>
    <mergeCell ref="E104:H104"/>
    <mergeCell ref="E105:H105"/>
    <mergeCell ref="E106:H106"/>
    <mergeCell ref="E107:H107"/>
    <mergeCell ref="E109:H109"/>
    <mergeCell ref="E97:H97"/>
    <mergeCell ref="E98:H98"/>
    <mergeCell ref="E99:H99"/>
    <mergeCell ref="E100:H100"/>
    <mergeCell ref="E101:H101"/>
    <mergeCell ref="E102:H102"/>
    <mergeCell ref="E85:G85"/>
    <mergeCell ref="E88:F91"/>
    <mergeCell ref="E93:H93"/>
    <mergeCell ref="E94:H94"/>
    <mergeCell ref="E114:F140"/>
  </mergeCells>
  <dataValidations count="28">
    <dataValidation type="list" allowBlank="1" showInputMessage="1" showErrorMessage="1" errorTitle="Внимание" error="Пожалуйста, выберите значение из списка!" sqref="H37 H64 H52 H58 H71 H78 H40:H43 H45:H46 H150 H152 H86">
      <formula1>YES_NO</formula1>
    </dataValidation>
    <dataValidation type="list" showInputMessage="1" showErrorMessage="1" errorTitle="Внимание" error="Пожалуйста, выберите значение из списка" sqref="H39">
      <formula1>OWNERSHIP_TYPE</formula1>
    </dataValidation>
    <dataValidation type="list" showInputMessage="1" showErrorMessage="1" errorTitle="Внимание" error="Пожалуйста, выберите значение из списка" sqref="H38">
      <formula1>STATE_SHARE</formula1>
    </dataValidation>
    <dataValidation type="list" allowBlank="1" showInputMessage="1" showErrorMessage="1" errorTitle="Ошибка" error="Выберите значение из списка" prompt="Выберите значение из списка" sqref="H29">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list" showDropDown="1" sqref="C9 C126 C139">
      <formula1>YEAR_LIST</formula1>
    </dataValidation>
    <dataValidation type="list" showDropDown="1" sqref="C10 C127 C140">
      <formula1>period_list</formula1>
    </dataValidation>
    <dataValidation type="list" showInputMessage="1" showErrorMessage="1" errorTitle="Внимание" error="Пожалуйста, выберите значение из списка!" sqref="H9">
      <formula1>YEAR_LIST</formula1>
    </dataValidation>
    <dataValidation type="textLength" operator="lessThanOrEqual" allowBlank="1" showInputMessage="1" showErrorMessage="1" sqref="C30:C36 C47 C49 C85 C53 C55 C112 C59 C61 C65 C67 C72 C74 C79 C81 C141:C145 C88:C91 C124 C122 C137 C135">
      <formula1>990</formula1>
    </dataValidation>
    <dataValidation type="list" showDropDown="1" sqref="C29">
      <formula1>okopf_list</formula1>
    </dataValidation>
    <dataValidation type="list" showDropDown="1" sqref="C37 C40:C43 C45:C46 C52 C58 C64 C71 C78 C150:C152 C86">
      <formula1>YES_NO</formula1>
    </dataValidation>
    <dataValidation type="list" showDropDown="1" showInputMessage="1" showErrorMessage="1" sqref="C39">
      <formula1>OWNERSHIP_TYPE</formula1>
    </dataValidation>
    <dataValidation type="date" operator="notEqual" allowBlank="1" showInputMessage="1" showErrorMessage="1" sqref="C50 C56 C62 C75:C77 C68:C70 C113 C82:C84 C123 C136">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8 H54 H60 H66 H73 H80 H111">
      <formula1>DOCUMENT_TYPES</formula1>
    </dataValidation>
    <dataValidation type="list" showInputMessage="1" showErrorMessage="1" errorTitle="Внимание" error="Пожалуйста, выберите значение из списка!" sqref="H10">
      <formula1>period_list</formula1>
    </dataValidation>
    <dataValidation type="list" operator="lessThanOrEqual" showDropDown="1" showInputMessage="1" showErrorMessage="1" sqref="C63 C57 C44 C51">
      <formula1>"FAS_URL"</formula1>
    </dataValidation>
    <dataValidation type="list" allowBlank="1" showInputMessage="1" showErrorMessage="1" sqref="E114:F114">
      <formula1>"Заявление организации,Заявление организации (отсутствует)"</formula1>
    </dataValidation>
    <dataValidation type="list" allowBlank="1" showInputMessage="1" showErrorMessage="1" errorTitle="Ошибка" error="Выберите значение из списка" prompt="Если Вам необходимо указать значение, отсутствующее в списке, обратитесь в службу сопровождения пользователей" sqref="H24">
      <formula1>subsidiary_list</formula1>
    </dataValidation>
    <dataValidation type="list" showDropDown="1" sqref="C24">
      <formula1>subsidiary_list</formula1>
    </dataValidation>
    <dataValidation type="list" operator="lessThanOrEqual" showDropDown="1" sqref="C121 C134">
      <formula1>dpr_list</formula1>
    </dataValidation>
    <dataValidation type="list" showDropDown="1" errorTitle="Ошибка" error="Выберите значение из списка" prompt="Выберите значение из списка" sqref="C118 C131">
      <formula1>tariff_type_list</formula1>
    </dataValidation>
    <dataValidation type="list" allowBlank="1" showInputMessage="1" showErrorMessage="1" errorTitle="Ошибка" error="Выберите значение из списка" prompt="Выберите значение из списка" sqref="H126 H139">
      <formula1>YEAR_LIST</formula1>
    </dataValidation>
    <dataValidation type="list" showDropDown="1" showInputMessage="1" showErrorMessage="1" errorTitle="Внимание" error="Пожалуйста, выберите значение из списка!" sqref="C125 C138">
      <formula1>TARIFF_CALC_METHOD</formula1>
    </dataValidation>
    <dataValidation type="list" allowBlank="1" showInputMessage="1" showErrorMessage="1" errorTitle="Ошибка" error="Выберите значение из списка" prompt="Выберите значение из списка" sqref="H127 H140">
      <formula1>period_list</formula1>
    </dataValidation>
    <dataValidation type="list" allowBlank="1" showInputMessage="1" showErrorMessage="1" errorTitle="Внимание" error="Пожалуйста, выберите значение из списка!" sqref="H125 H138">
      <formula1>TARIFF_CALC_METHOD</formula1>
    </dataValidation>
    <dataValidation type="list" allowBlank="1" showInputMessage="1" showErrorMessage="1" errorTitle="Ошибка" error="Выберите значение из списка" prompt="Выберите значение из списка" sqref="H118 H131">
      <formula1>tariff_type_list</formula1>
    </dataValidation>
    <dataValidation type="list" allowBlank="1" showInputMessage="1" showErrorMessage="1" errorTitle="Ошибка" error="Выберите значение из списка" prompt="Выберите значение из списка" sqref="H120 H133">
      <formula1>VOTV_VTOV</formula1>
    </dataValidation>
  </dataValidations>
  <printOptions horizontalCentered="1"/>
  <pageMargins left="0.35433070866141736" right="0.35433070866141736" top="0.39370078740157483" bottom="0.47222222222222221" header="7.874015748031496E-2" footer="7.874015748031496E-2"/>
  <pageSetup paperSize="9" scale="79" fitToHeight="0" orientation="portrait" r:id="rId1"/>
  <headerFooter>
    <oddFooter>&amp;C&amp;A
&amp;P из &amp;N</oddFooter>
  </headerFooter>
  <rowBreaks count="1" manualBreakCount="1">
    <brk id="8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S19"/>
  <sheetViews>
    <sheetView showGridLines="0" view="pageBreakPreview" zoomScale="60" zoomScaleNormal="100" workbookViewId="0">
      <pane ySplit="14" topLeftCell="A15" activePane="bottomLeft" state="frozen"/>
      <selection activeCell="E105" sqref="E105:H105"/>
      <selection pane="bottomLeft" activeCell="N28" sqref="N28"/>
    </sheetView>
  </sheetViews>
  <sheetFormatPr defaultColWidth="9.125" defaultRowHeight="11.4"/>
  <cols>
    <col min="1" max="1" width="3.625" style="58" hidden="1" customWidth="1"/>
    <col min="2" max="2" width="3.625" style="55" hidden="1" customWidth="1"/>
    <col min="3" max="3" width="3.75" style="55" hidden="1" customWidth="1"/>
    <col min="4" max="4" width="3.75" style="56" hidden="1" customWidth="1"/>
    <col min="5" max="11" width="3.75" style="55" hidden="1" customWidth="1"/>
    <col min="12" max="12" width="6.25" style="55" customWidth="1"/>
    <col min="13" max="14" width="28.75" style="55" customWidth="1"/>
    <col min="15" max="15" width="15.375" style="64" customWidth="1"/>
    <col min="16" max="16" width="20.25" style="55" customWidth="1"/>
    <col min="17" max="17" width="32.125" style="55" customWidth="1"/>
    <col min="18" max="16384" width="9.125" style="55"/>
  </cols>
  <sheetData>
    <row r="1" spans="1:19" ht="12" hidden="1" customHeight="1">
      <c r="A1" s="673"/>
      <c r="B1" s="674"/>
      <c r="C1" s="674"/>
      <c r="D1" s="675"/>
      <c r="E1" s="674"/>
      <c r="F1" s="674"/>
      <c r="G1" s="674"/>
      <c r="H1" s="674"/>
      <c r="I1" s="674"/>
      <c r="J1" s="674"/>
      <c r="K1" s="674"/>
      <c r="L1" s="674"/>
      <c r="M1" s="674" t="s">
        <v>1010</v>
      </c>
      <c r="N1" s="674" t="s">
        <v>1011</v>
      </c>
      <c r="O1" s="674" t="s">
        <v>1012</v>
      </c>
      <c r="P1" s="674" t="s">
        <v>1128</v>
      </c>
      <c r="Q1" s="674" t="s">
        <v>1128</v>
      </c>
      <c r="R1" s="674" t="s">
        <v>1128</v>
      </c>
      <c r="S1" s="674" t="s">
        <v>1128</v>
      </c>
    </row>
    <row r="2" spans="1:19" ht="12" hidden="1" customHeight="1">
      <c r="A2" s="673"/>
      <c r="B2" s="674"/>
      <c r="C2" s="674"/>
      <c r="D2" s="675"/>
      <c r="E2" s="674"/>
      <c r="F2" s="674"/>
      <c r="G2" s="674"/>
      <c r="H2" s="674"/>
      <c r="I2" s="674"/>
      <c r="J2" s="674"/>
      <c r="K2" s="674"/>
      <c r="L2" s="674"/>
      <c r="M2" s="674" t="s">
        <v>1128</v>
      </c>
      <c r="N2" s="674" t="s">
        <v>1128</v>
      </c>
      <c r="O2" s="674" t="s">
        <v>1128</v>
      </c>
      <c r="P2" s="674" t="s">
        <v>1128</v>
      </c>
      <c r="Q2" s="674" t="s">
        <v>1128</v>
      </c>
      <c r="R2" s="674" t="s">
        <v>1128</v>
      </c>
      <c r="S2" s="674" t="s">
        <v>1128</v>
      </c>
    </row>
    <row r="3" spans="1:19" ht="12" hidden="1" customHeight="1">
      <c r="A3" s="673"/>
      <c r="B3" s="674"/>
      <c r="C3" s="674"/>
      <c r="D3" s="675"/>
      <c r="E3" s="674"/>
      <c r="F3" s="674"/>
      <c r="G3" s="674"/>
      <c r="H3" s="674"/>
      <c r="I3" s="674"/>
      <c r="J3" s="674"/>
      <c r="K3" s="674"/>
      <c r="L3" s="674"/>
      <c r="M3" s="674" t="s">
        <v>1128</v>
      </c>
      <c r="N3" s="674" t="s">
        <v>1128</v>
      </c>
      <c r="O3" s="674" t="s">
        <v>1128</v>
      </c>
      <c r="P3" s="674" t="s">
        <v>1128</v>
      </c>
      <c r="Q3" s="674" t="s">
        <v>1128</v>
      </c>
      <c r="R3" s="674" t="s">
        <v>1128</v>
      </c>
      <c r="S3" s="674" t="s">
        <v>1128</v>
      </c>
    </row>
    <row r="4" spans="1:19" ht="12" hidden="1" customHeight="1">
      <c r="A4" s="673"/>
      <c r="B4" s="674"/>
      <c r="C4" s="674"/>
      <c r="D4" s="675"/>
      <c r="E4" s="674"/>
      <c r="F4" s="674"/>
      <c r="G4" s="674"/>
      <c r="H4" s="674"/>
      <c r="I4" s="674"/>
      <c r="J4" s="674"/>
      <c r="K4" s="674"/>
      <c r="L4" s="674"/>
      <c r="M4" s="674" t="s">
        <v>1128</v>
      </c>
      <c r="N4" s="674" t="s">
        <v>1128</v>
      </c>
      <c r="O4" s="674" t="s">
        <v>1128</v>
      </c>
      <c r="P4" s="674" t="s">
        <v>1128</v>
      </c>
      <c r="Q4" s="674" t="s">
        <v>1128</v>
      </c>
      <c r="R4" s="674" t="s">
        <v>1128</v>
      </c>
      <c r="S4" s="674" t="s">
        <v>1128</v>
      </c>
    </row>
    <row r="5" spans="1:19" ht="12" hidden="1" customHeight="1">
      <c r="A5" s="673"/>
      <c r="B5" s="674"/>
      <c r="C5" s="674"/>
      <c r="D5" s="675"/>
      <c r="E5" s="674"/>
      <c r="F5" s="674"/>
      <c r="G5" s="674"/>
      <c r="H5" s="674"/>
      <c r="I5" s="674"/>
      <c r="J5" s="674"/>
      <c r="K5" s="674"/>
      <c r="L5" s="674"/>
      <c r="M5" s="674" t="s">
        <v>1128</v>
      </c>
      <c r="N5" s="674" t="s">
        <v>1128</v>
      </c>
      <c r="O5" s="674" t="s">
        <v>1128</v>
      </c>
      <c r="P5" s="674" t="s">
        <v>1128</v>
      </c>
      <c r="Q5" s="674" t="s">
        <v>1128</v>
      </c>
      <c r="R5" s="674" t="s">
        <v>1128</v>
      </c>
      <c r="S5" s="674" t="s">
        <v>1128</v>
      </c>
    </row>
    <row r="6" spans="1:19" ht="12" hidden="1" customHeight="1">
      <c r="A6" s="673"/>
      <c r="B6" s="674"/>
      <c r="C6" s="674"/>
      <c r="D6" s="675"/>
      <c r="E6" s="674"/>
      <c r="F6" s="674"/>
      <c r="G6" s="674"/>
      <c r="H6" s="674"/>
      <c r="I6" s="674"/>
      <c r="J6" s="674"/>
      <c r="K6" s="674"/>
      <c r="L6" s="674"/>
      <c r="M6" s="674" t="s">
        <v>1128</v>
      </c>
      <c r="N6" s="674" t="s">
        <v>1128</v>
      </c>
      <c r="O6" s="674" t="s">
        <v>1128</v>
      </c>
      <c r="P6" s="674" t="s">
        <v>1128</v>
      </c>
      <c r="Q6" s="674" t="s">
        <v>1128</v>
      </c>
      <c r="R6" s="674" t="s">
        <v>1128</v>
      </c>
      <c r="S6" s="674" t="s">
        <v>1128</v>
      </c>
    </row>
    <row r="7" spans="1:19" ht="12" hidden="1" customHeight="1">
      <c r="A7" s="673"/>
      <c r="B7" s="674"/>
      <c r="C7" s="674"/>
      <c r="D7" s="675"/>
      <c r="E7" s="674"/>
      <c r="F7" s="674"/>
      <c r="G7" s="674"/>
      <c r="H7" s="674"/>
      <c r="I7" s="674"/>
      <c r="J7" s="674"/>
      <c r="K7" s="674"/>
      <c r="L7" s="674"/>
      <c r="M7" s="674" t="s">
        <v>1128</v>
      </c>
      <c r="N7" s="674" t="s">
        <v>1128</v>
      </c>
      <c r="O7" s="674" t="s">
        <v>1128</v>
      </c>
      <c r="P7" s="674" t="s">
        <v>1128</v>
      </c>
      <c r="Q7" s="674" t="s">
        <v>1128</v>
      </c>
      <c r="R7" s="674" t="s">
        <v>1128</v>
      </c>
      <c r="S7" s="674" t="s">
        <v>1128</v>
      </c>
    </row>
    <row r="8" spans="1:19" ht="12" hidden="1" customHeight="1">
      <c r="A8" s="673"/>
      <c r="B8" s="674"/>
      <c r="C8" s="674"/>
      <c r="D8" s="675"/>
      <c r="E8" s="674"/>
      <c r="F8" s="674"/>
      <c r="G8" s="674"/>
      <c r="H8" s="674"/>
      <c r="I8" s="674"/>
      <c r="J8" s="674"/>
      <c r="K8" s="674"/>
      <c r="L8" s="674"/>
      <c r="M8" s="674" t="s">
        <v>1128</v>
      </c>
      <c r="N8" s="674" t="s">
        <v>1128</v>
      </c>
      <c r="O8" s="674" t="s">
        <v>1128</v>
      </c>
      <c r="P8" s="674" t="s">
        <v>1128</v>
      </c>
      <c r="Q8" s="674" t="s">
        <v>1128</v>
      </c>
      <c r="R8" s="674" t="s">
        <v>1128</v>
      </c>
      <c r="S8" s="674" t="s">
        <v>1128</v>
      </c>
    </row>
    <row r="9" spans="1:19" ht="12" hidden="1" customHeight="1">
      <c r="A9" s="673"/>
      <c r="B9" s="674"/>
      <c r="C9" s="674"/>
      <c r="D9" s="675"/>
      <c r="E9" s="674"/>
      <c r="F9" s="674"/>
      <c r="G9" s="674"/>
      <c r="H9" s="674"/>
      <c r="I9" s="674"/>
      <c r="J9" s="674"/>
      <c r="K9" s="674"/>
      <c r="L9" s="674"/>
      <c r="M9" s="674" t="s">
        <v>1128</v>
      </c>
      <c r="N9" s="674" t="s">
        <v>1128</v>
      </c>
      <c r="O9" s="674" t="s">
        <v>1128</v>
      </c>
      <c r="P9" s="674" t="s">
        <v>1128</v>
      </c>
      <c r="Q9" s="674" t="s">
        <v>1128</v>
      </c>
      <c r="R9" s="674" t="s">
        <v>1128</v>
      </c>
      <c r="S9" s="674" t="s">
        <v>1128</v>
      </c>
    </row>
    <row r="10" spans="1:19" ht="12" hidden="1" customHeight="1">
      <c r="A10" s="673"/>
      <c r="B10" s="674"/>
      <c r="C10" s="674"/>
      <c r="D10" s="675"/>
      <c r="E10" s="674"/>
      <c r="F10" s="674"/>
      <c r="G10" s="674"/>
      <c r="H10" s="674"/>
      <c r="I10" s="674"/>
      <c r="J10" s="674"/>
      <c r="K10" s="674"/>
      <c r="L10" s="674"/>
      <c r="M10" s="674" t="s">
        <v>1128</v>
      </c>
      <c r="N10" s="674" t="s">
        <v>1128</v>
      </c>
      <c r="O10" s="674" t="s">
        <v>1128</v>
      </c>
      <c r="P10" s="674" t="s">
        <v>1128</v>
      </c>
      <c r="Q10" s="674" t="s">
        <v>1128</v>
      </c>
      <c r="R10" s="674" t="s">
        <v>1128</v>
      </c>
      <c r="S10" s="674" t="s">
        <v>1128</v>
      </c>
    </row>
    <row r="11" spans="1:19" ht="15" hidden="1" customHeight="1">
      <c r="A11" s="673"/>
      <c r="B11" s="674"/>
      <c r="C11" s="674"/>
      <c r="D11" s="675"/>
      <c r="E11" s="675"/>
      <c r="F11" s="675"/>
      <c r="G11" s="675"/>
      <c r="H11" s="675"/>
      <c r="I11" s="675"/>
      <c r="J11" s="675"/>
      <c r="K11" s="675"/>
      <c r="L11" s="676"/>
      <c r="M11" s="677"/>
      <c r="N11" s="676"/>
      <c r="O11" s="676"/>
      <c r="P11" s="674"/>
      <c r="Q11" s="674"/>
      <c r="R11" s="674"/>
      <c r="S11" s="674"/>
    </row>
    <row r="12" spans="1:19" ht="30" customHeight="1">
      <c r="A12" s="673"/>
      <c r="B12" s="674"/>
      <c r="C12" s="675"/>
      <c r="D12" s="675"/>
      <c r="E12" s="675"/>
      <c r="F12" s="675"/>
      <c r="G12" s="675"/>
      <c r="H12" s="675"/>
      <c r="I12" s="675"/>
      <c r="J12" s="675"/>
      <c r="K12" s="675"/>
      <c r="L12" s="1099" t="s">
        <v>1239</v>
      </c>
      <c r="M12" s="1099"/>
      <c r="N12" s="1099"/>
      <c r="O12" s="1099"/>
      <c r="P12" s="1099"/>
      <c r="Q12" s="1099"/>
      <c r="R12" s="674" t="s">
        <v>1128</v>
      </c>
      <c r="S12" s="674" t="s">
        <v>1128</v>
      </c>
    </row>
    <row r="13" spans="1:19">
      <c r="A13" s="673"/>
      <c r="B13" s="674"/>
      <c r="C13" s="674"/>
      <c r="D13" s="675"/>
      <c r="E13" s="678"/>
      <c r="F13" s="678"/>
      <c r="G13" s="678"/>
      <c r="H13" s="678"/>
      <c r="I13" s="678"/>
      <c r="J13" s="678"/>
      <c r="K13" s="678"/>
      <c r="L13" s="678"/>
      <c r="M13" s="678" t="s">
        <v>1128</v>
      </c>
      <c r="N13" s="678" t="s">
        <v>1128</v>
      </c>
      <c r="O13" s="679" t="s">
        <v>1128</v>
      </c>
      <c r="P13" s="679" t="s">
        <v>1128</v>
      </c>
      <c r="Q13" s="674" t="s">
        <v>1128</v>
      </c>
      <c r="R13" s="674" t="s">
        <v>1128</v>
      </c>
      <c r="S13" s="674" t="s">
        <v>1128</v>
      </c>
    </row>
    <row r="14" spans="1:19" ht="28.5" customHeight="1">
      <c r="A14" s="680"/>
      <c r="B14" s="674"/>
      <c r="C14" s="674"/>
      <c r="D14" s="675"/>
      <c r="E14" s="678"/>
      <c r="F14" s="678"/>
      <c r="G14" s="678"/>
      <c r="H14" s="678"/>
      <c r="I14" s="678"/>
      <c r="J14" s="678"/>
      <c r="K14" s="678"/>
      <c r="L14" s="681" t="s">
        <v>16</v>
      </c>
      <c r="M14" s="682" t="s">
        <v>261</v>
      </c>
      <c r="N14" s="682" t="s">
        <v>262</v>
      </c>
      <c r="O14" s="682" t="s">
        <v>263</v>
      </c>
      <c r="P14" s="683" t="s">
        <v>1611</v>
      </c>
      <c r="Q14" s="684" t="s">
        <v>1157</v>
      </c>
      <c r="R14" s="674"/>
      <c r="S14" s="674"/>
    </row>
    <row r="15" spans="1:19">
      <c r="A15" s="685" t="s">
        <v>18</v>
      </c>
      <c r="B15" s="674"/>
      <c r="C15" s="674"/>
      <c r="D15" s="675"/>
      <c r="E15" s="686"/>
      <c r="F15" s="686"/>
      <c r="G15" s="686"/>
      <c r="H15" s="686"/>
      <c r="I15" s="686"/>
      <c r="J15" s="686"/>
      <c r="K15" s="686"/>
      <c r="L15" s="687" t="s">
        <v>3005</v>
      </c>
      <c r="M15" s="688"/>
      <c r="N15" s="688"/>
      <c r="O15" s="688"/>
      <c r="P15" s="688"/>
      <c r="Q15" s="688"/>
      <c r="R15" s="674"/>
      <c r="S15" s="674"/>
    </row>
    <row r="16" spans="1:19" ht="13.2">
      <c r="A16" s="689">
        <v>1</v>
      </c>
      <c r="B16" s="674"/>
      <c r="C16" s="674"/>
      <c r="D16" s="690"/>
      <c r="E16" s="691"/>
      <c r="F16" s="691"/>
      <c r="G16" s="691"/>
      <c r="H16" s="691"/>
      <c r="I16" s="691"/>
      <c r="J16" s="691"/>
      <c r="K16" s="691"/>
      <c r="L16" s="692" t="s">
        <v>18</v>
      </c>
      <c r="M16" s="693" t="s">
        <v>2872</v>
      </c>
      <c r="N16" s="693" t="s">
        <v>2872</v>
      </c>
      <c r="O16" s="694" t="s">
        <v>2873</v>
      </c>
      <c r="P16" s="695"/>
      <c r="Q16" s="695"/>
      <c r="R16" s="674"/>
      <c r="S16" s="674"/>
    </row>
    <row r="17" spans="1:19">
      <c r="A17" s="685" t="s">
        <v>102</v>
      </c>
      <c r="B17" s="674"/>
      <c r="C17" s="674"/>
      <c r="D17" s="675"/>
      <c r="E17" s="686"/>
      <c r="F17" s="686"/>
      <c r="G17" s="686"/>
      <c r="H17" s="686"/>
      <c r="I17" s="686"/>
      <c r="J17" s="686"/>
      <c r="K17" s="686"/>
      <c r="L17" s="687" t="s">
        <v>3009</v>
      </c>
      <c r="M17" s="688"/>
      <c r="N17" s="688"/>
      <c r="O17" s="688"/>
      <c r="P17" s="688"/>
      <c r="Q17" s="688"/>
      <c r="R17" s="674"/>
      <c r="S17" s="674"/>
    </row>
    <row r="18" spans="1:19" ht="22.8">
      <c r="A18" s="689">
        <v>2</v>
      </c>
      <c r="B18" s="674"/>
      <c r="C18" s="674"/>
      <c r="D18" s="690"/>
      <c r="E18" s="691"/>
      <c r="F18" s="691"/>
      <c r="G18" s="691"/>
      <c r="H18" s="691"/>
      <c r="I18" s="691"/>
      <c r="J18" s="691"/>
      <c r="K18" s="691"/>
      <c r="L18" s="692" t="s">
        <v>18</v>
      </c>
      <c r="M18" s="693" t="s">
        <v>2846</v>
      </c>
      <c r="N18" s="693" t="s">
        <v>2846</v>
      </c>
      <c r="O18" s="694" t="s">
        <v>2865</v>
      </c>
      <c r="P18" s="695"/>
      <c r="Q18" s="695"/>
      <c r="R18" s="674"/>
      <c r="S18" s="674"/>
    </row>
    <row r="19" spans="1:19">
      <c r="A19" s="680"/>
      <c r="B19" s="674"/>
      <c r="C19" s="674"/>
      <c r="D19" s="675"/>
      <c r="E19" s="674"/>
      <c r="F19" s="674"/>
      <c r="G19" s="674"/>
      <c r="H19" s="674"/>
      <c r="I19" s="674"/>
      <c r="J19" s="674"/>
      <c r="K19" s="674"/>
      <c r="L19" s="674"/>
      <c r="M19" s="674" t="s">
        <v>1128</v>
      </c>
      <c r="N19" s="674" t="s">
        <v>1128</v>
      </c>
      <c r="O19" s="696" t="s">
        <v>1128</v>
      </c>
      <c r="P19" s="674" t="s">
        <v>1128</v>
      </c>
      <c r="Q19" s="674" t="s">
        <v>1128</v>
      </c>
      <c r="R19" s="674" t="s">
        <v>1128</v>
      </c>
      <c r="S19" s="674" t="s">
        <v>1128</v>
      </c>
    </row>
  </sheetData>
  <sheetProtection formatColumns="0" formatRows="0" autoFilter="0"/>
  <mergeCells count="1">
    <mergeCell ref="L12:Q12"/>
  </mergeCells>
  <dataValidations count="12">
    <dataValidation type="list" showInputMessage="1" showErrorMessage="1" errorTitle="Внимание" error="Пожалуйста, выберите МО из списка" sqref="WQF16 WGJ16 VWN16 VMR16 VCV16 USZ16 UJD16 TZH16 TPL16 TFP16 SVT16 SLX16 SCB16 RSF16 RIJ16 QYN16 QOR16 QEV16 PUZ16 PLD16 PBH16 ORL16 OHP16 NXT16 NNX16 NEB16 MUF16 MKJ16 MAN16 LQR16 LGV16 KWZ16 KND16 KDH16 JTL16 JJP16 IZT16 IPX16 IGB16 HWF16 HMJ16 HCN16 GSR16 GIV16 FYZ16 FPD16 FFH16 EVL16 ELP16 EBT16 DRX16 DIB16 CYF16 COJ16 CEN16 BUR16 BKV16 BAZ16 ARD16 AHH16 XL16 NP16 DT16 WQF18 WGJ18 VWN18 VMR18 VCV18 USZ18 UJD18 TZH18 TPL18 TFP18 SVT18 SLX18 SCB18 RSF18 RIJ18 QYN18 QOR18 QEV18 PUZ18 PLD18 PBH18 ORL18 OHP18 NXT18 NNX18 NEB18 MUF18 MKJ18 MAN18 LQR18 LGV18 KWZ18 KND18 KDH18 JTL18 JJP18 IZT18 IPX18 IGB18 HWF18 HMJ18 HCN18 GSR18 GIV18 FYZ18 FPD18 FFH18 EVL18 ELP18 EBT18 DRX18 DIB18 CYF18 COJ18 CEN18 BUR18 BKV18 BAZ18 ARD18 AHH18 XL18 NP18 DT18">
      <formula1>MO_LIST_12</formula1>
    </dataValidation>
    <dataValidation type="list" showInputMessage="1" showErrorMessage="1" errorTitle="Внимание" error="Пожалуйста, выберите значение из списка" sqref="WUC16 WKG16 WAK16 VQO16 VGS16 UWW16 UNA16 UDE16 TTI16 TJM16 SZQ16 SPU16 SFY16 RWC16 RMG16 RCK16 QSO16 QIS16 PYW16 PPA16 PFE16 OVI16 OLM16 OBQ16 NRU16 NHY16 MYC16 MOG16 MEK16 LUO16 LKS16 LAW16 KRA16 KHE16 JXI16 JNM16 JDQ16 ITU16 IJY16 IAC16 HQG16 HGK16 GWO16 GMS16 GCW16 FTA16 FJE16 EZI16 EPM16 EFQ16 DVU16 DLY16 DCC16 CSG16 CIK16 BYO16 BOS16 BEW16 AVA16 ALE16 ABI16 RM16 HQ16 WUC18 WKG18 WAK18 VQO18 VGS18 UWW18 UNA18 UDE18 TTI18 TJM18 SZQ18 SPU18 SFY18 RWC18 RMG18 RCK18 QSO18 QIS18 PYW18 PPA18 PFE18 OVI18 OLM18 OBQ18 NRU18 NHY18 MYC18 MOG18 MEK18 LUO18 LKS18 LAW18 KRA18 KHE18 JXI18 JNM18 JDQ18 ITU18 IJY18 IAC18 HQG18 HGK18 GWO18 GMS18 GCW18 FTA18 FJE18 EZI18 EPM18 EFQ18 DVU18 DLY18 DCC18 CSG18 CIK18 BYO18 BOS18 BEW18 AVA18 ALE18 ABI18 RM18 HQ18">
      <formula1>DOCUMENT_TYPES</formula1>
    </dataValidation>
    <dataValidation type="list" allowBlank="1" showInputMessage="1" showErrorMessage="1" errorTitle="Внимание" error="Пожалуйста, выберите МР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M16 WQE18 WGI18 VWM18 VMQ18 VCU18 USY18 UJC18 TZG18 TPK18 TFO18 SVS18 SLW18 SCA18 RSE18 RII18 QYM18 QOQ18 QEU18 PUY18 PLC18 PBG18 ORK18 OHO18 NXS18 NNW18 NEA18 MUE18 MKI18 MAM18 LQQ18 LGU18 KWY18 KNC18 KDG18 JTK18 JJO18 IZS18 IPW18 IGA18 HWE18 HMI18 HCM18 GSQ18 GIU18 FYY18 FPC18 FFG18 EVK18 ELO18 EBS18 DRW18 DIA18 CYE18 COI18 CEM18 BUQ18 BKU18 BAY18 ARC18 AHG18 XK18 NO18 DS18 M18">
      <formula1>MR_LIST</formula1>
    </dataValidation>
    <dataValidation type="list" showInputMessage="1" showErrorMessage="1" errorTitle="Внимание" error="Пожалуйста, выберите значение из списка"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WTA18 WJE18 VZI18 VPM18 VFQ18 UVU18 ULY18 UCC18 TSG18 TIK18 SYO18 SOS18 SEW18 RVA18 RLE18 RBI18 QRM18 QHQ18 PXU18 PNY18 PEC18 OUG18 OKK18 OAO18 NQS18 NGW18 MXA18 MNE18 MDI18 LTM18 LJQ18 KZU18 KPY18 KGC18 JWG18 JMK18 JCO18 ISS18 IIW18 HZA18 HPE18 HFI18 GVM18 GLQ18 GBU18 FRY18 FIC18 EYG18 EOK18 EEO18 DUS18 DKW18 DBA18 CRE18 CHI18 BXM18 BNQ18 BDU18 ATY18 AKC18 AAG18 QK18 GO18 WTD18 WJH18 VZL18 VPP18 VFT18 UVX18 UMB18 UCF18 TSJ18 TIN18 SYR18 SOV18 SEZ18 RVD18 RLH18 RBL18 QRP18 QHT18 PXX18 POB18 PEF18 OUJ18 OKN18 OAR18 NQV18 NGZ18 MXD18 MNH18 MDL18 LTP18 LJT18 KZX18 KQB18 KGF18 JWJ18 JMN18 JCR18 ISV18 IIZ18 HZD18 HPH18 HFL18 GVP18 GLT18 GBX18 FSB18 FIF18 EYJ18 EON18 EER18 DUV18 DKZ18 DBD18 CRH18 CHL18 BXP18 BNT18 BDX18 AUB18 AKF18 AAJ18 QN18 GR18">
      <formula1>MONTH_LIST</formula1>
    </dataValidation>
    <dataValidation type="whole" allowBlank="1" showInputMessage="1" showErrorMessage="1" errorTitle="Внимание" error="Пожалуйста, укажите число!"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WTE16 WJI16 VZM16 VPQ16 VFU16 UVY16 UMC16 UCG16 TSK16 TIO16 SYS16 SOW16 SFA16 RVE16 RLI16 RBM16 QRQ16 QHU16 PXY16 POC16 PEG16 OUK16 OKO16 OAS16 NQW16 NHA16 MXE16 MNI16 MDM16 LTQ16 LJU16 KZY16 KQC16 KGG16 JWK16 JMO16 JCS16 ISW16 IJA16 HZE16 HPI16 HFM16 GVQ16 GLU16 GBY16 FSC16 FIG16 EYK16 EOO16 EES16 DUW16 DLA16 DBE16 CRI16 CHM16 BXQ16 BNU16 BDY16 AUC16 AKG16 AAK16 QO16 GS16 WTB18 WJF18 VZJ18 VPN18 VFR18 UVV18 ULZ18 UCD18 TSH18 TIL18 SYP18 SOT18 SEX18 RVB18 RLF18 RBJ18 QRN18 QHR18 PXV18 PNZ18 PED18 OUH18 OKL18 OAP18 NQT18 NGX18 MXB18 MNF18 MDJ18 LTN18 LJR18 KZV18 KPZ18 KGD18 JWH18 JML18 JCP18 IST18 IIX18 HZB18 HPF18 HFJ18 GVN18 GLR18 GBV18 FRZ18 FID18 EYH18 EOL18 EEP18 DUT18 DKX18 DBB18 CRF18 CHJ18 BXN18 BNR18 BDV18 ATZ18 AKD18 AAH18 QL18 GP18 WTE18 WJI18 VZM18 VPQ18 VFU18 UVY18 UMC18 UCG18 TSK18 TIO18 SYS18 SOW18 SFA18 RVE18 RLI18 RBM18 QRQ18 QHU18 PXY18 POC18 PEG18 OUK18 OKO18 OAS18 NQW18 NHA18 MXE18 MNI18 MDM18 LTQ18 LJU18 KZY18 KQC18 KGG18 JWK18 JMO18 JCS18 ISW18 IJA18 HZE18 HPI18 HFM18 GVQ18 GLU18 GBY18 FSC18 FIG18 EYK18 EOO18 EES18 DUW18 DLA18 DBE18 CRI18 CHM18 BXQ18 BNU18 BDY18 AUC18 AKG18 AAK18 QO18 GS18">
      <formula1>1</formula1>
      <formula2>31</formula2>
    </dataValidation>
    <dataValidation type="list" showInputMessage="1" showErrorMessage="1" errorTitle="Внимание" error="Пожалуйста, выберите значение из списка" sqref="WSR16 WIV16 VYZ16 VPD16 VFH16 UVL16 ULP16 UBT16 TRX16 TIB16 SYF16 SOJ16 SEN16 RUR16 RKV16 RAZ16 QRD16 QHH16 PXL16 PNP16 PDT16 OTX16 OKB16 OAF16 NQJ16 NGN16 MWR16 MMV16 MCZ16 LTD16 LJH16 KZL16 KPP16 KFT16 JVX16 JMB16 JCF16 ISJ16 IIN16 HYR16 HOV16 HEZ16 GVD16 GLH16 GBL16 FRP16 FHT16 EXX16 EOB16 EEF16 DUJ16 DKN16 DAR16 CQV16 CGZ16 BXD16 BNH16 BDL16 ATP16 AJT16 ZX16 QB16 GF16 WSR18 WIV18 VYZ18 VPD18 VFH18 UVL18 ULP18 UBT18 TRX18 TIB18 SYF18 SOJ18 SEN18 RUR18 RKV18 RAZ18 QRD18 QHH18 PXL18 PNP18 PDT18 OTX18 OKB18 OAF18 NQJ18 NGN18 MWR18 MMV18 MCZ18 LTD18 LJH18 KZL18 KPP18 KFT18 JVX18 JMB18 JCF18 ISJ18 IIN18 HYR18 HOV18 HEZ18 GVD18 GLH18 GBL18 FRP18 FHT18 EXX18 EOB18 EEF18 DUJ18 DKN18 DAR18 CQV18 CGZ18 BXD18 BNH18 BDL18 ATP18 AJT18 ZX18 QB18 GF18">
      <formula1>YES_NO</formula1>
    </dataValidation>
    <dataValidation type="list" allowBlank="1" showInputMessage="1" showErrorMessage="1" errorTitle="Внимание" error="Пожалуйста, выберите значение из списка!" sqref="WUA16 WKE16 WAI16 VQM16 VGQ16 UWU16 UMY16 UDC16 TTG16 TJK16 SZO16 SPS16 SFW16 RWA16 RME16 RCI16 QSM16 QIQ16 PYU16 POY16 PFC16 OVG16 OLK16 OBO16 NRS16 NHW16 MYA16 MOE16 MEI16 LUM16 LKQ16 LAU16 KQY16 KHC16 JXG16 JNK16 JDO16 ITS16 IJW16 IAA16 HQE16 HGI16 GWM16 GMQ16 GCU16 FSY16 FJC16 EZG16 EPK16 EFO16 DVS16 DLW16 DCA16 CSE16 CII16 BYM16 BOQ16 BEU16 AUY16 ALC16 ABG16 RK16 HO16 WTU16 WJY16 WAC16 VQG16 VGK16 UWO16 UMS16 UCW16 TTA16 TJE16 SZI16 SPM16 SFQ16 RVU16 RLY16 RCC16 QSG16 QIK16 PYO16 POS16 PEW16 OVA16 OLE16 OBI16 NRM16 NHQ16 MXU16 MNY16 MEC16 LUG16 LKK16 LAO16 KQS16 KGW16 JXA16 JNE16 JDI16 ITM16 IJQ16 HZU16 HPY16 HGC16 GWG16 GMK16 GCO16 FSS16 FIW16 EZA16 EPE16 EFI16 DVM16 DLQ16 DBU16 CRY16 CIC16 BYG16 BOK16 BEO16 AUS16 AKW16 ABA16 RE16 HI16 WUG16 WKK16 WAO16 VQS16 VGW16 UXA16 UNE16 UDI16 TTM16 TJQ16 SZU16 SPY16 SGC16 RWG16 RMK16 RCO16 QSS16 QIW16 PZA16 PPE16 PFI16 OVM16 OLQ16 OBU16 NRY16 NIC16 MYG16 MOK16 MEO16 LUS16 LKW16 LBA16 KRE16 KHI16 JXM16 JNQ16 JDU16 ITY16 IKC16 IAG16 HQK16 HGO16 GWS16 GMW16 GDA16 FTE16 FJI16 EZM16 EPQ16 EFU16 DVY16 DMC16 DCG16 CSK16 CIO16 BYS16 BOW16 BFA16 AVE16 ALI16 ABM16 RQ16 HU16 WUA18 WKE18 WAI18 VQM18 VGQ18 UWU18 UMY18 UDC18 TTG18 TJK18 SZO18 SPS18 SFW18 RWA18 RME18 RCI18 QSM18 QIQ18 PYU18 POY18 PFC18 OVG18 OLK18 OBO18 NRS18 NHW18 MYA18 MOE18 MEI18 LUM18 LKQ18 LAU18 KQY18 KHC18 JXG18 JNK18 JDO18 ITS18 IJW18 IAA18 HQE18 HGI18 GWM18 GMQ18 GCU18 FSY18 FJC18 EZG18 EPK18 EFO18 DVS18 DLW18 DCA18 CSE18 CII18 BYM18 BOQ18 BEU18 AUY18 ALC18 ABG18 RK18 HO18 WTU18 WJY18 WAC18 VQG18 VGK18 UWO18 UMS18 UCW18 TTA18 TJE18 SZI18 SPM18 SFQ18 RVU18 RLY18 RCC18 QSG18 QIK18 PYO18 POS18 PEW18 OVA18 OLE18 OBI18 NRM18 NHQ18 MXU18 MNY18 MEC18 LUG18 LKK18 LAO18 KQS18 KGW18 JXA18 JNE18 JDI18 ITM18 IJQ18 HZU18 HPY18 HGC18 GWG18 GMK18 GCO18 FSS18 FIW18 EZA18 EPE18 EFI18 DVM18 DLQ18 DBU18 CRY18 CIC18 BYG18 BOK18 BEO18 AUS18 AKW18 ABA18 RE18 HI18 WUG18 WKK18 WAO18 VQS18 VGW18 UXA18 UNE18 UDI18 TTM18 TJQ18 SZU18 SPY18 SGC18 RWG18 RMK18 RCO18 QSS18 QIW18 PZA18 PPE18 PFI18 OVM18 OLQ18 OBU18 NRY18 NIC18 MYG18 MOK18 MEO18 LUS18 LKW18 LBA18 KRE18 KHI18 JXM18 JNQ18 JDU18 ITY18 IKC18 IAG18 HQK18 HGO18 GWS18 GMW18 GDA18 FTE18 FJI18 EZM18 EPQ18 EFU18 DVY18 DMC18 DCG18 CSK18 CIO18 BYS18 BOW18 BFA18 AVE18 ALI18 ABM18 RQ18 HU18">
      <formula1>YES_NO</formula1>
    </dataValidation>
    <dataValidation type="list" showInputMessage="1" showErrorMessage="1" errorTitle="Внимание" error="Пожалуйста, выберите значение из списка" sqref="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WTC18 WJG18 VZK18 VPO18 VFS18 UVW18 UMA18 UCE18 TSI18 TIM18 SYQ18 SOU18 SEY18 RVC18 RLG18 RBK18 QRO18 QHS18 PXW18 POA18 PEE18 OUI18 OKM18 OAQ18 NQU18 NGY18 MXC18 MNG18 MDK18 LTO18 LJS18 KZW18 KQA18 KGE18 JWI18 JMM18 JCQ18 ISU18 IIY18 HZC18 HPG18 HFK18 GVO18 GLS18 GBW18 FSA18 FIE18 EYI18 EOM18 EEQ18 DUU18 DKY18 DBC18 CRG18 CHK18 BXO18 BNS18 BDW18 AUA18 AKE18 AAI18 QM18 GQ18">
      <formula1>TF_END_YEAR_LIST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WSZ18 WJD18 VZH18 VPL18 VFP18 UVT18 ULX18 UCB18 TSF18 TIJ18 SYN18 SOR18 SEV18 RUZ18 RLD18 RBH18 QRL18 QHP18 PXT18 PNX18 PEB18 OUF18 OKJ18 OAN18 NQR18 NGV18 MWZ18 MND18 MDH18 LTL18 LJP18 KZT18 KPX18 KGB18 JWF18 JMJ18 JCN18 ISR18 IIV18 HYZ18 HPD18 HFH18 GVL18 GLP18 GBT18 FRX18 FIB18 EYF18 EOJ18 EEN18 DUR18 DKV18 DAZ18 CRD18 CHH18 BXL18 BNP18 BDT18 ATX18 AKB18 AAF18 QJ18 GN18">
      <formula1>TF_START_YEAR_LIST</formula1>
    </dataValidation>
    <dataValidation type="whole" allowBlank="1" showInputMessage="1" showErrorMessage="1" errorTitle="Внимание" error="Необходимо указать целое положительное значение!" sqref="WQY16 WHC16 VXG16 VNK16 VDO16 UTS16 UJW16 UAA16 TQE16 TGI16 SWM16 SMQ16 SCU16 RSY16 RJC16 QZG16 QPK16 QFO16 PVS16 PLW16 PCA16 OSE16 OII16 NYM16 NOQ16 NEU16 MUY16 MLC16 MBG16 LRK16 LHO16 KXS16 KNW16 KEA16 JUE16 JKI16 JAM16 IQQ16 IGU16 HWY16 HNC16 HDG16 GTK16 GJO16 FZS16 FPW16 FGA16 EWE16 EMI16 ECM16 DSQ16 DIU16 CYY16 CPC16 CFG16 BVK16 BLO16 BBS16 ARW16 AIA16 YE16 OI16 EM16 WQY18 WHC18 VXG18 VNK18 VDO18 UTS18 UJW18 UAA18 TQE18 TGI18 SWM18 SMQ18 SCU18 RSY18 RJC18 QZG18 QPK18 QFO18 PVS18 PLW18 PCA18 OSE18 OII18 NYM18 NOQ18 NEU18 MUY18 MLC18 MBG18 LRK18 LHO18 KXS18 KNW18 KEA18 JUE18 JKI18 JAM18 IQQ18 IGU18 HWY18 HNC18 HDG18 GTK18 GJO18 FZS18 FPW18 FGA18 EWE18 EMI18 ECM18 DSQ18 DIU18 CYY18 CPC18 CFG18 BVK18 BLO18 BBS18 ARW18 AIA18 YE18 OI18 EM18">
      <formula1>0</formula1>
      <formula2>10000000</formula2>
    </dataValidation>
    <dataValidation type="list" showInputMessage="1" showErrorMessage="1" errorTitle="Внимание" error="Пожалуйста, выберите МО из списка!" sqref="N16">
      <formula1>MO_LIST_24</formula1>
    </dataValidation>
    <dataValidation type="list" showInputMessage="1" showErrorMessage="1" errorTitle="Внимание" error="Пожалуйста, выберите МО из списка!" sqref="N18">
      <formula1>MO_LIST_21</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sheetPr>
  <dimension ref="A1:S31"/>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R30" sqref="R30"/>
    </sheetView>
  </sheetViews>
  <sheetFormatPr defaultColWidth="8.75" defaultRowHeight="11.4"/>
  <cols>
    <col min="1" max="1" width="8.75" style="55" hidden="1" customWidth="1"/>
    <col min="2" max="2" width="3.75" style="55" hidden="1" customWidth="1"/>
    <col min="3" max="10" width="9.75" style="56" hidden="1" customWidth="1"/>
    <col min="11" max="11" width="3.75" style="55" hidden="1" customWidth="1"/>
    <col min="12" max="12" width="6.75" style="55" customWidth="1"/>
    <col min="13" max="13" width="70.75" style="55" customWidth="1"/>
    <col min="14" max="14" width="15.75" style="55" customWidth="1"/>
    <col min="15" max="15" width="20.75" style="55" customWidth="1"/>
    <col min="16" max="16" width="20.75" style="64" customWidth="1"/>
    <col min="17" max="18" width="20.75" style="55" customWidth="1"/>
    <col min="19" max="19" width="20.75" style="64" customWidth="1"/>
    <col min="20" max="16384" width="8.75" style="55"/>
  </cols>
  <sheetData>
    <row r="1" spans="1:19" ht="12" hidden="1" customHeight="1">
      <c r="A1" s="674"/>
      <c r="B1" s="674"/>
      <c r="C1" s="675"/>
      <c r="D1" s="675"/>
      <c r="E1" s="675"/>
      <c r="F1" s="675"/>
      <c r="G1" s="675"/>
      <c r="H1" s="675"/>
      <c r="I1" s="675"/>
      <c r="J1" s="675"/>
      <c r="K1" s="674"/>
      <c r="L1" s="674"/>
      <c r="M1" s="674"/>
      <c r="N1" s="674"/>
      <c r="O1" s="697">
        <v>2022</v>
      </c>
      <c r="P1" s="697">
        <v>2023</v>
      </c>
      <c r="Q1" s="697">
        <v>2024</v>
      </c>
      <c r="R1" s="697">
        <v>2024</v>
      </c>
      <c r="S1" s="697">
        <v>2024</v>
      </c>
    </row>
    <row r="2" spans="1:19" ht="12" hidden="1" customHeight="1">
      <c r="A2" s="674"/>
      <c r="B2" s="674"/>
      <c r="C2" s="675"/>
      <c r="D2" s="675"/>
      <c r="E2" s="675"/>
      <c r="F2" s="675"/>
      <c r="G2" s="675"/>
      <c r="H2" s="675"/>
      <c r="I2" s="675"/>
      <c r="J2" s="675"/>
      <c r="K2" s="675"/>
      <c r="L2" s="675"/>
      <c r="M2" s="698"/>
      <c r="N2" s="698"/>
      <c r="O2" s="699" t="s">
        <v>1654</v>
      </c>
      <c r="P2" s="699" t="s">
        <v>268</v>
      </c>
      <c r="Q2" s="700" t="s">
        <v>269</v>
      </c>
      <c r="R2" s="700" t="s">
        <v>268</v>
      </c>
      <c r="S2" s="699" t="s">
        <v>1654</v>
      </c>
    </row>
    <row r="3" spans="1:19" ht="12" hidden="1" customHeight="1">
      <c r="A3" s="674"/>
      <c r="B3" s="674"/>
      <c r="C3" s="675"/>
      <c r="D3" s="675"/>
      <c r="E3" s="675"/>
      <c r="F3" s="675"/>
      <c r="G3" s="675"/>
      <c r="H3" s="675"/>
      <c r="I3" s="675"/>
      <c r="J3" s="675"/>
      <c r="K3" s="675"/>
      <c r="L3" s="675"/>
      <c r="M3" s="698"/>
      <c r="N3" s="698"/>
      <c r="O3" s="698"/>
      <c r="P3" s="698"/>
      <c r="Q3" s="674"/>
      <c r="R3" s="674"/>
      <c r="S3" s="698"/>
    </row>
    <row r="4" spans="1:19" ht="12" hidden="1" customHeight="1">
      <c r="A4" s="674"/>
      <c r="B4" s="674"/>
      <c r="C4" s="675"/>
      <c r="D4" s="675"/>
      <c r="E4" s="675"/>
      <c r="F4" s="675"/>
      <c r="G4" s="675"/>
      <c r="H4" s="675"/>
      <c r="I4" s="675"/>
      <c r="J4" s="675"/>
      <c r="K4" s="675"/>
      <c r="L4" s="675"/>
      <c r="M4" s="698"/>
      <c r="N4" s="698"/>
      <c r="O4" s="698"/>
      <c r="P4" s="698"/>
      <c r="Q4" s="674"/>
      <c r="R4" s="674"/>
      <c r="S4" s="698"/>
    </row>
    <row r="5" spans="1:19" ht="12" hidden="1" customHeight="1">
      <c r="A5" s="674"/>
      <c r="B5" s="674"/>
      <c r="C5" s="675"/>
      <c r="D5" s="675"/>
      <c r="E5" s="675"/>
      <c r="F5" s="675"/>
      <c r="G5" s="675"/>
      <c r="H5" s="675"/>
      <c r="I5" s="675"/>
      <c r="J5" s="675"/>
      <c r="K5" s="675"/>
      <c r="L5" s="675"/>
      <c r="M5" s="698"/>
      <c r="N5" s="698"/>
      <c r="O5" s="698"/>
      <c r="P5" s="698"/>
      <c r="Q5" s="674"/>
      <c r="R5" s="674"/>
      <c r="S5" s="698"/>
    </row>
    <row r="6" spans="1:19" ht="12" hidden="1" customHeight="1">
      <c r="A6" s="674"/>
      <c r="B6" s="674"/>
      <c r="C6" s="675"/>
      <c r="D6" s="675"/>
      <c r="E6" s="675"/>
      <c r="F6" s="675"/>
      <c r="G6" s="675"/>
      <c r="H6" s="675"/>
      <c r="I6" s="675"/>
      <c r="J6" s="675"/>
      <c r="K6" s="675"/>
      <c r="L6" s="675"/>
      <c r="M6" s="698"/>
      <c r="N6" s="698"/>
      <c r="O6" s="698"/>
      <c r="P6" s="698"/>
      <c r="Q6" s="674"/>
      <c r="R6" s="674"/>
      <c r="S6" s="698"/>
    </row>
    <row r="7" spans="1:19" ht="12" hidden="1" customHeight="1">
      <c r="A7" s="674"/>
      <c r="B7" s="674"/>
      <c r="C7" s="675"/>
      <c r="D7" s="675"/>
      <c r="E7" s="675"/>
      <c r="F7" s="675"/>
      <c r="G7" s="675"/>
      <c r="H7" s="675"/>
      <c r="I7" s="675"/>
      <c r="J7" s="675"/>
      <c r="K7" s="675"/>
      <c r="L7" s="675"/>
      <c r="M7" s="698"/>
      <c r="N7" s="698"/>
      <c r="O7" s="698"/>
      <c r="P7" s="698"/>
      <c r="Q7" s="674"/>
      <c r="R7" s="674"/>
      <c r="S7" s="698"/>
    </row>
    <row r="8" spans="1:19" ht="12" hidden="1" customHeight="1">
      <c r="A8" s="674"/>
      <c r="B8" s="674"/>
      <c r="C8" s="675"/>
      <c r="D8" s="675"/>
      <c r="E8" s="675"/>
      <c r="F8" s="675"/>
      <c r="G8" s="675"/>
      <c r="H8" s="675"/>
      <c r="I8" s="675"/>
      <c r="J8" s="675"/>
      <c r="K8" s="675"/>
      <c r="L8" s="675"/>
      <c r="M8" s="698"/>
      <c r="N8" s="698"/>
      <c r="O8" s="698"/>
      <c r="P8" s="698"/>
      <c r="Q8" s="674"/>
      <c r="R8" s="674"/>
      <c r="S8" s="698"/>
    </row>
    <row r="9" spans="1:19" ht="12" hidden="1" customHeight="1">
      <c r="A9" s="674"/>
      <c r="B9" s="674"/>
      <c r="C9" s="675"/>
      <c r="D9" s="675"/>
      <c r="E9" s="675"/>
      <c r="F9" s="675"/>
      <c r="G9" s="675"/>
      <c r="H9" s="675"/>
      <c r="I9" s="675"/>
      <c r="J9" s="675"/>
      <c r="K9" s="675"/>
      <c r="L9" s="675"/>
      <c r="M9" s="698"/>
      <c r="N9" s="698"/>
      <c r="O9" s="698"/>
      <c r="P9" s="698"/>
      <c r="Q9" s="674"/>
      <c r="R9" s="674"/>
      <c r="S9" s="698"/>
    </row>
    <row r="10" spans="1:19" ht="12" hidden="1" customHeight="1">
      <c r="A10" s="674"/>
      <c r="B10" s="674"/>
      <c r="C10" s="675"/>
      <c r="D10" s="675"/>
      <c r="E10" s="675"/>
      <c r="F10" s="675"/>
      <c r="G10" s="675"/>
      <c r="H10" s="675"/>
      <c r="I10" s="675"/>
      <c r="J10" s="675"/>
      <c r="K10" s="675"/>
      <c r="L10" s="675"/>
      <c r="M10" s="698"/>
      <c r="N10" s="698"/>
      <c r="O10" s="698"/>
      <c r="P10" s="698"/>
      <c r="Q10" s="674"/>
      <c r="R10" s="674"/>
      <c r="S10" s="698"/>
    </row>
    <row r="11" spans="1:19" ht="15" hidden="1" customHeight="1">
      <c r="A11" s="674"/>
      <c r="B11" s="674"/>
      <c r="C11" s="675"/>
      <c r="D11" s="675"/>
      <c r="E11" s="675"/>
      <c r="F11" s="675"/>
      <c r="G11" s="675"/>
      <c r="H11" s="675"/>
      <c r="I11" s="675"/>
      <c r="J11" s="675"/>
      <c r="K11" s="701"/>
      <c r="L11" s="701"/>
      <c r="M11" s="702"/>
      <c r="N11" s="701"/>
      <c r="O11" s="701"/>
      <c r="P11" s="701"/>
      <c r="Q11" s="674"/>
      <c r="R11" s="674"/>
      <c r="S11" s="701"/>
    </row>
    <row r="12" spans="1:19" ht="21" customHeight="1">
      <c r="A12" s="674"/>
      <c r="B12" s="675"/>
      <c r="C12" s="675"/>
      <c r="D12" s="675"/>
      <c r="E12" s="675"/>
      <c r="F12" s="675"/>
      <c r="G12" s="675"/>
      <c r="H12" s="675"/>
      <c r="I12" s="675"/>
      <c r="J12" s="675"/>
      <c r="K12" s="675"/>
      <c r="L12" s="1103" t="s">
        <v>1240</v>
      </c>
      <c r="M12" s="1104"/>
      <c r="N12" s="1104"/>
      <c r="O12" s="1104"/>
      <c r="P12" s="1104"/>
      <c r="Q12" s="1104"/>
      <c r="R12" s="1104"/>
      <c r="S12" s="1104"/>
    </row>
    <row r="13" spans="1:19" ht="9" customHeight="1">
      <c r="A13" s="674"/>
      <c r="B13" s="674"/>
      <c r="C13" s="675"/>
      <c r="D13" s="675"/>
      <c r="E13" s="675"/>
      <c r="F13" s="675"/>
      <c r="G13" s="675"/>
      <c r="H13" s="675"/>
      <c r="I13" s="675"/>
      <c r="J13" s="675"/>
      <c r="K13" s="678"/>
      <c r="L13" s="678"/>
      <c r="M13" s="678"/>
      <c r="N13" s="678"/>
      <c r="O13" s="678"/>
      <c r="P13" s="1106"/>
      <c r="Q13" s="1106"/>
      <c r="R13" s="703"/>
      <c r="S13" s="703"/>
    </row>
    <row r="14" spans="1:19" ht="21" customHeight="1">
      <c r="A14" s="674"/>
      <c r="B14" s="674"/>
      <c r="C14" s="675"/>
      <c r="D14" s="675"/>
      <c r="E14" s="675"/>
      <c r="F14" s="675"/>
      <c r="G14" s="675"/>
      <c r="H14" s="675"/>
      <c r="I14" s="675"/>
      <c r="J14" s="675"/>
      <c r="K14" s="678"/>
      <c r="L14" s="1105" t="s">
        <v>16</v>
      </c>
      <c r="M14" s="1105" t="s">
        <v>121</v>
      </c>
      <c r="N14" s="1105" t="s">
        <v>135</v>
      </c>
      <c r="O14" s="704" t="s">
        <v>3010</v>
      </c>
      <c r="P14" s="705" t="s">
        <v>3011</v>
      </c>
      <c r="Q14" s="705" t="s">
        <v>3012</v>
      </c>
      <c r="R14" s="705" t="s">
        <v>3012</v>
      </c>
      <c r="S14" s="1107" t="s">
        <v>109</v>
      </c>
    </row>
    <row r="15" spans="1:19" s="65" customFormat="1" ht="36" customHeight="1">
      <c r="A15" s="706" t="s">
        <v>1127</v>
      </c>
      <c r="B15" s="706"/>
      <c r="C15" s="706"/>
      <c r="D15" s="706"/>
      <c r="E15" s="706"/>
      <c r="F15" s="706"/>
      <c r="G15" s="706"/>
      <c r="H15" s="706"/>
      <c r="I15" s="706"/>
      <c r="J15" s="706"/>
      <c r="K15" s="706"/>
      <c r="L15" s="1105"/>
      <c r="M15" s="1105"/>
      <c r="N15" s="1105"/>
      <c r="O15" s="705" t="s">
        <v>268</v>
      </c>
      <c r="P15" s="705" t="s">
        <v>268</v>
      </c>
      <c r="Q15" s="705" t="s">
        <v>269</v>
      </c>
      <c r="R15" s="705" t="s">
        <v>268</v>
      </c>
      <c r="S15" s="1108"/>
    </row>
    <row r="16" spans="1:19" s="65" customFormat="1">
      <c r="A16" s="707" t="s">
        <v>18</v>
      </c>
      <c r="B16" s="706"/>
      <c r="C16" s="706"/>
      <c r="D16" s="706"/>
      <c r="E16" s="706"/>
      <c r="F16" s="706"/>
      <c r="G16" s="706"/>
      <c r="H16" s="706"/>
      <c r="I16" s="706"/>
      <c r="J16" s="706"/>
      <c r="K16" s="706"/>
      <c r="L16" s="687" t="s">
        <v>3005</v>
      </c>
      <c r="M16" s="708"/>
      <c r="N16" s="688"/>
      <c r="O16" s="688"/>
      <c r="P16" s="688"/>
      <c r="Q16" s="688"/>
      <c r="R16" s="688"/>
      <c r="S16" s="688"/>
    </row>
    <row r="17" spans="1:19" s="65" customFormat="1">
      <c r="A17" s="707" t="s">
        <v>18</v>
      </c>
      <c r="B17" s="706" t="s">
        <v>1406</v>
      </c>
      <c r="C17" s="706" t="s">
        <v>1442</v>
      </c>
      <c r="D17" s="706" t="s">
        <v>3013</v>
      </c>
      <c r="E17" s="706"/>
      <c r="F17" s="706"/>
      <c r="G17" s="706"/>
      <c r="H17" s="706"/>
      <c r="I17" s="706"/>
      <c r="J17" s="706"/>
      <c r="K17" s="706"/>
      <c r="L17" s="709">
        <v>1</v>
      </c>
      <c r="M17" s="710" t="s">
        <v>277</v>
      </c>
      <c r="N17" s="711" t="s">
        <v>271</v>
      </c>
      <c r="O17" s="712"/>
      <c r="P17" s="713"/>
      <c r="Q17" s="713"/>
      <c r="R17" s="713"/>
      <c r="S17" s="714"/>
    </row>
    <row r="18" spans="1:19" s="65" customFormat="1">
      <c r="A18" s="707" t="s">
        <v>18</v>
      </c>
      <c r="B18" s="706" t="s">
        <v>1406</v>
      </c>
      <c r="C18" s="706" t="s">
        <v>1442</v>
      </c>
      <c r="D18" s="706" t="s">
        <v>3014</v>
      </c>
      <c r="E18" s="706"/>
      <c r="F18" s="706"/>
      <c r="G18" s="706"/>
      <c r="H18" s="706"/>
      <c r="I18" s="706"/>
      <c r="J18" s="706"/>
      <c r="K18" s="706"/>
      <c r="L18" s="709">
        <v>2</v>
      </c>
      <c r="M18" s="710" t="s">
        <v>278</v>
      </c>
      <c r="N18" s="711" t="s">
        <v>271</v>
      </c>
      <c r="O18" s="712"/>
      <c r="P18" s="713"/>
      <c r="Q18" s="713"/>
      <c r="R18" s="713"/>
      <c r="S18" s="714"/>
    </row>
    <row r="19" spans="1:19" s="65" customFormat="1">
      <c r="A19" s="707" t="s">
        <v>18</v>
      </c>
      <c r="B19" s="706" t="s">
        <v>1406</v>
      </c>
      <c r="C19" s="706" t="s">
        <v>1442</v>
      </c>
      <c r="D19" s="706" t="s">
        <v>3015</v>
      </c>
      <c r="E19" s="706"/>
      <c r="F19" s="706"/>
      <c r="G19" s="706"/>
      <c r="H19" s="706"/>
      <c r="I19" s="706"/>
      <c r="J19" s="706"/>
      <c r="K19" s="706"/>
      <c r="L19" s="709">
        <v>3</v>
      </c>
      <c r="M19" s="710" t="s">
        <v>279</v>
      </c>
      <c r="N19" s="711" t="s">
        <v>276</v>
      </c>
      <c r="O19" s="715">
        <v>23.152999999999999</v>
      </c>
      <c r="P19" s="715">
        <v>23.152999999999999</v>
      </c>
      <c r="Q19" s="715">
        <v>23.152999999999999</v>
      </c>
      <c r="R19" s="715">
        <v>23.152999999999999</v>
      </c>
      <c r="S19" s="714"/>
    </row>
    <row r="20" spans="1:19" s="65" customFormat="1">
      <c r="A20" s="707" t="s">
        <v>18</v>
      </c>
      <c r="B20" s="706" t="s">
        <v>1438</v>
      </c>
      <c r="C20" s="706" t="s">
        <v>1442</v>
      </c>
      <c r="D20" s="716" t="s">
        <v>1200</v>
      </c>
      <c r="E20" s="706"/>
      <c r="F20" s="706"/>
      <c r="G20" s="706"/>
      <c r="H20" s="706"/>
      <c r="I20" s="706"/>
      <c r="J20" s="706"/>
      <c r="K20" s="706"/>
      <c r="L20" s="709"/>
      <c r="M20" s="710" t="s">
        <v>1200</v>
      </c>
      <c r="N20" s="711"/>
      <c r="O20" s="1100"/>
      <c r="P20" s="1101"/>
      <c r="Q20" s="1101"/>
      <c r="R20" s="1101"/>
      <c r="S20" s="1102"/>
    </row>
    <row r="21" spans="1:19" s="65" customFormat="1">
      <c r="A21" s="707" t="s">
        <v>102</v>
      </c>
      <c r="B21" s="706"/>
      <c r="C21" s="706"/>
      <c r="D21" s="706"/>
      <c r="E21" s="706"/>
      <c r="F21" s="706"/>
      <c r="G21" s="706"/>
      <c r="H21" s="706"/>
      <c r="I21" s="706"/>
      <c r="J21" s="706"/>
      <c r="K21" s="706"/>
      <c r="L21" s="687" t="s">
        <v>3009</v>
      </c>
      <c r="M21" s="708"/>
      <c r="N21" s="688"/>
      <c r="O21" s="688"/>
      <c r="P21" s="688"/>
      <c r="Q21" s="688"/>
      <c r="R21" s="688"/>
      <c r="S21" s="688"/>
    </row>
    <row r="22" spans="1:19" s="65" customFormat="1">
      <c r="A22" s="707" t="s">
        <v>102</v>
      </c>
      <c r="B22" s="706" t="s">
        <v>1406</v>
      </c>
      <c r="C22" s="706" t="s">
        <v>1442</v>
      </c>
      <c r="D22" s="706" t="s">
        <v>3013</v>
      </c>
      <c r="E22" s="706"/>
      <c r="F22" s="706"/>
      <c r="G22" s="706"/>
      <c r="H22" s="706"/>
      <c r="I22" s="706"/>
      <c r="J22" s="706"/>
      <c r="K22" s="706"/>
      <c r="L22" s="709">
        <v>1</v>
      </c>
      <c r="M22" s="710" t="s">
        <v>277</v>
      </c>
      <c r="N22" s="711" t="s">
        <v>271</v>
      </c>
      <c r="O22" s="712"/>
      <c r="P22" s="713"/>
      <c r="Q22" s="713"/>
      <c r="R22" s="713"/>
      <c r="S22" s="714"/>
    </row>
    <row r="23" spans="1:19" s="65" customFormat="1">
      <c r="A23" s="707" t="s">
        <v>102</v>
      </c>
      <c r="B23" s="706" t="s">
        <v>1406</v>
      </c>
      <c r="C23" s="706" t="s">
        <v>1442</v>
      </c>
      <c r="D23" s="706" t="s">
        <v>3014</v>
      </c>
      <c r="E23" s="706"/>
      <c r="F23" s="706"/>
      <c r="G23" s="706"/>
      <c r="H23" s="706"/>
      <c r="I23" s="706"/>
      <c r="J23" s="706"/>
      <c r="K23" s="706"/>
      <c r="L23" s="709">
        <v>2</v>
      </c>
      <c r="M23" s="710" t="s">
        <v>278</v>
      </c>
      <c r="N23" s="711" t="s">
        <v>271</v>
      </c>
      <c r="O23" s="712"/>
      <c r="P23" s="713"/>
      <c r="Q23" s="713"/>
      <c r="R23" s="713"/>
      <c r="S23" s="714"/>
    </row>
    <row r="24" spans="1:19" s="65" customFormat="1">
      <c r="A24" s="707" t="s">
        <v>102</v>
      </c>
      <c r="B24" s="706" t="s">
        <v>1406</v>
      </c>
      <c r="C24" s="706" t="s">
        <v>1442</v>
      </c>
      <c r="D24" s="706" t="s">
        <v>3015</v>
      </c>
      <c r="E24" s="706"/>
      <c r="F24" s="706"/>
      <c r="G24" s="706"/>
      <c r="H24" s="706"/>
      <c r="I24" s="706"/>
      <c r="J24" s="706"/>
      <c r="K24" s="706"/>
      <c r="L24" s="709">
        <v>3</v>
      </c>
      <c r="M24" s="710" t="s">
        <v>279</v>
      </c>
      <c r="N24" s="711" t="s">
        <v>276</v>
      </c>
      <c r="O24" s="715">
        <v>25</v>
      </c>
      <c r="P24" s="715">
        <v>25</v>
      </c>
      <c r="Q24" s="715">
        <v>25</v>
      </c>
      <c r="R24" s="715">
        <v>25</v>
      </c>
      <c r="S24" s="714"/>
    </row>
    <row r="25" spans="1:19" s="65" customFormat="1">
      <c r="A25" s="707" t="s">
        <v>102</v>
      </c>
      <c r="B25" s="706" t="s">
        <v>1438</v>
      </c>
      <c r="C25" s="706" t="s">
        <v>1442</v>
      </c>
      <c r="D25" s="716" t="s">
        <v>1200</v>
      </c>
      <c r="E25" s="706"/>
      <c r="F25" s="706"/>
      <c r="G25" s="706"/>
      <c r="H25" s="706"/>
      <c r="I25" s="706"/>
      <c r="J25" s="706"/>
      <c r="K25" s="706"/>
      <c r="L25" s="709"/>
      <c r="M25" s="710" t="s">
        <v>1200</v>
      </c>
      <c r="N25" s="711"/>
      <c r="O25" s="1100"/>
      <c r="P25" s="1101"/>
      <c r="Q25" s="1101"/>
      <c r="R25" s="1101"/>
      <c r="S25" s="1102"/>
    </row>
    <row r="26" spans="1:19" s="65" customFormat="1">
      <c r="A26" s="706"/>
      <c r="B26" s="706"/>
      <c r="C26" s="706"/>
      <c r="D26" s="706"/>
      <c r="E26" s="706"/>
      <c r="F26" s="706"/>
      <c r="G26" s="706"/>
      <c r="H26" s="706"/>
      <c r="I26" s="706"/>
      <c r="J26" s="706"/>
      <c r="K26" s="706"/>
      <c r="L26" s="706"/>
      <c r="M26" s="706"/>
      <c r="N26" s="706"/>
      <c r="O26" s="706"/>
      <c r="P26" s="706"/>
      <c r="Q26" s="706"/>
      <c r="R26" s="706"/>
      <c r="S26" s="706"/>
    </row>
    <row r="27" spans="1:19" s="65" customFormat="1" ht="24" customHeight="1">
      <c r="A27" s="706"/>
      <c r="B27" s="706"/>
      <c r="C27" s="706"/>
      <c r="D27" s="706"/>
      <c r="E27" s="706"/>
      <c r="F27" s="706"/>
      <c r="G27" s="706"/>
      <c r="H27" s="706"/>
      <c r="I27" s="706"/>
      <c r="J27" s="706"/>
      <c r="K27" s="706"/>
      <c r="L27" s="717" t="s">
        <v>1241</v>
      </c>
      <c r="M27" s="718"/>
      <c r="N27" s="718"/>
      <c r="O27" s="718"/>
      <c r="P27" s="718"/>
      <c r="Q27" s="718"/>
      <c r="R27" s="718"/>
      <c r="S27" s="719"/>
    </row>
    <row r="28" spans="1:19" s="65" customFormat="1">
      <c r="A28" s="706"/>
      <c r="B28" s="706"/>
      <c r="C28" s="706"/>
      <c r="D28" s="706"/>
      <c r="E28" s="706"/>
      <c r="F28" s="706"/>
      <c r="G28" s="706"/>
      <c r="H28" s="706"/>
      <c r="I28" s="706"/>
      <c r="J28" s="706"/>
      <c r="K28" s="706"/>
      <c r="L28" s="720"/>
      <c r="M28" s="721" t="s">
        <v>1406</v>
      </c>
      <c r="N28" s="721" t="s">
        <v>1438</v>
      </c>
      <c r="O28" s="721" t="s">
        <v>1442</v>
      </c>
      <c r="P28" s="721" t="s">
        <v>1598</v>
      </c>
      <c r="Q28" s="721" t="s">
        <v>1619</v>
      </c>
      <c r="R28" s="721" t="s">
        <v>1446</v>
      </c>
      <c r="S28" s="719"/>
    </row>
    <row r="29" spans="1:19" s="65" customFormat="1" ht="45.75" customHeight="1">
      <c r="A29" s="706" t="s">
        <v>1127</v>
      </c>
      <c r="B29" s="706"/>
      <c r="C29" s="706"/>
      <c r="D29" s="706"/>
      <c r="E29" s="706"/>
      <c r="F29" s="706"/>
      <c r="G29" s="706"/>
      <c r="H29" s="706"/>
      <c r="I29" s="706"/>
      <c r="J29" s="706"/>
      <c r="K29" s="706"/>
      <c r="L29" s="722" t="s">
        <v>16</v>
      </c>
      <c r="M29" s="723" t="s">
        <v>280</v>
      </c>
      <c r="N29" s="723" t="s">
        <v>281</v>
      </c>
      <c r="O29" s="723" t="s">
        <v>1655</v>
      </c>
      <c r="P29" s="723" t="s">
        <v>1656</v>
      </c>
      <c r="Q29" s="723" t="s">
        <v>1657</v>
      </c>
      <c r="R29" s="723" t="s">
        <v>282</v>
      </c>
      <c r="S29" s="706"/>
    </row>
    <row r="30" spans="1:19" s="68" customFormat="1" ht="31.8" customHeight="1">
      <c r="A30" s="724"/>
      <c r="B30" s="724"/>
      <c r="C30" s="725"/>
      <c r="D30" s="725" t="s">
        <v>2975</v>
      </c>
      <c r="E30" s="724"/>
      <c r="F30" s="725" t="s">
        <v>2978</v>
      </c>
      <c r="G30" s="725" t="s">
        <v>2977</v>
      </c>
      <c r="H30" s="724" t="s">
        <v>2979</v>
      </c>
      <c r="I30" s="724"/>
      <c r="J30" s="724"/>
      <c r="K30" s="662"/>
      <c r="L30" s="726">
        <v>1</v>
      </c>
      <c r="M30" s="727" t="s">
        <v>3016</v>
      </c>
      <c r="N30" s="728" t="s">
        <v>1372</v>
      </c>
      <c r="O30" s="728" t="s">
        <v>1385</v>
      </c>
      <c r="P30" s="729" t="s">
        <v>102</v>
      </c>
      <c r="Q30" s="729" t="s">
        <v>2974</v>
      </c>
      <c r="R30" s="1193" t="s">
        <v>3248</v>
      </c>
      <c r="S30" s="730"/>
    </row>
    <row r="31" spans="1:19" s="68" customFormat="1" ht="27" customHeight="1">
      <c r="A31" s="724"/>
      <c r="B31" s="724"/>
      <c r="C31" s="725"/>
      <c r="D31" s="725" t="s">
        <v>2975</v>
      </c>
      <c r="E31" s="724"/>
      <c r="F31" s="725" t="s">
        <v>2972</v>
      </c>
      <c r="G31" s="725" t="s">
        <v>2976</v>
      </c>
      <c r="H31" s="724" t="s">
        <v>2968</v>
      </c>
      <c r="I31" s="724"/>
      <c r="J31" s="724"/>
      <c r="K31" s="662"/>
      <c r="L31" s="726">
        <v>2</v>
      </c>
      <c r="M31" s="727" t="s">
        <v>3017</v>
      </c>
      <c r="N31" s="728" t="s">
        <v>1368</v>
      </c>
      <c r="O31" s="728" t="s">
        <v>1382</v>
      </c>
      <c r="P31" s="729" t="s">
        <v>2969</v>
      </c>
      <c r="Q31" s="729" t="s">
        <v>2970</v>
      </c>
      <c r="R31" s="714" t="s">
        <v>1128</v>
      </c>
      <c r="S31" s="730"/>
    </row>
  </sheetData>
  <sheetProtection formatColumns="0" formatRows="0" autoFilter="0"/>
  <mergeCells count="8">
    <mergeCell ref="O20:S20"/>
    <mergeCell ref="O25:S25"/>
    <mergeCell ref="L12:S12"/>
    <mergeCell ref="L14:L15"/>
    <mergeCell ref="P13:Q13"/>
    <mergeCell ref="M14:M15"/>
    <mergeCell ref="N14:N15"/>
    <mergeCell ref="S14:S15"/>
  </mergeCells>
  <dataValidations count="2">
    <dataValidation type="decimal" allowBlank="1" showErrorMessage="1" errorTitle="Ошибка" error="Допускается ввод только неотрицательных чисел!" sqref="O19:R19 O24:R24">
      <formula1>0</formula1>
      <formula2>9.99999999999999E+23</formula2>
    </dataValidation>
    <dataValidation type="whole" allowBlank="1" showErrorMessage="1" errorTitle="Ошибка" error="Допускается ввод только неотрицательных целых чисел!" sqref="O17:R18 O22:R23">
      <formula1>0</formula1>
      <formula2>9.99999999999999E+23</formula2>
    </dataValidation>
  </dataValidations>
  <pageMargins left="0.35433070866141736" right="0.35433070866141736" top="0.39370078740157483" bottom="0.47244094488188981" header="0.51181102362204722" footer="0.51181102362204722"/>
  <pageSetup paperSize="9" scale="75" fitToWidth="0" fitToHeight="0" orientation="landscape" r:id="rId1"/>
  <headerFooter alignWithMargins="0">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sheetPr>
  <dimension ref="A1:AP57"/>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O42" sqref="O42:U42"/>
    </sheetView>
  </sheetViews>
  <sheetFormatPr defaultColWidth="9.125" defaultRowHeight="11.4"/>
  <cols>
    <col min="1" max="10" width="9.125" style="70" hidden="1" customWidth="1"/>
    <col min="11" max="11" width="3.75" style="70" hidden="1" customWidth="1"/>
    <col min="12" max="12" width="6.75" style="82" customWidth="1"/>
    <col min="13" max="13" width="39.875" style="83" customWidth="1"/>
    <col min="14" max="14" width="15.875" style="70" customWidth="1"/>
    <col min="15" max="17" width="15.75" style="70" customWidth="1"/>
    <col min="18" max="18" width="18.375" style="70" customWidth="1"/>
    <col min="19" max="24" width="15.75" style="70" customWidth="1"/>
    <col min="25" max="42" width="15.75" style="70" hidden="1" customWidth="1"/>
    <col min="43" max="16384" width="9.125" style="70"/>
  </cols>
  <sheetData>
    <row r="1" spans="1:42" hidden="1">
      <c r="A1" s="731"/>
      <c r="B1" s="731"/>
      <c r="C1" s="731"/>
      <c r="D1" s="731"/>
      <c r="E1" s="731"/>
      <c r="F1" s="731"/>
      <c r="G1" s="731"/>
      <c r="H1" s="731"/>
      <c r="I1" s="731"/>
      <c r="J1" s="731"/>
      <c r="K1" s="731"/>
      <c r="L1" s="732"/>
      <c r="M1" s="733"/>
      <c r="N1" s="731"/>
      <c r="O1" s="731">
        <v>2022</v>
      </c>
      <c r="P1" s="731">
        <v>2022</v>
      </c>
      <c r="Q1" s="731">
        <v>2022</v>
      </c>
      <c r="R1" s="731">
        <v>2022</v>
      </c>
      <c r="S1" s="731">
        <v>2023</v>
      </c>
      <c r="T1" s="731">
        <v>2024</v>
      </c>
      <c r="U1" s="731">
        <v>2024</v>
      </c>
      <c r="V1" s="731">
        <v>2024</v>
      </c>
      <c r="W1" s="731">
        <v>2024</v>
      </c>
      <c r="X1" s="731">
        <v>2024</v>
      </c>
      <c r="Y1" s="731">
        <v>2025</v>
      </c>
      <c r="Z1" s="731">
        <v>2025</v>
      </c>
      <c r="AA1" s="731">
        <v>2026</v>
      </c>
      <c r="AB1" s="731">
        <v>2026</v>
      </c>
      <c r="AC1" s="731">
        <v>2027</v>
      </c>
      <c r="AD1" s="731">
        <v>2027</v>
      </c>
      <c r="AE1" s="731">
        <v>2028</v>
      </c>
      <c r="AF1" s="731">
        <v>2028</v>
      </c>
      <c r="AG1" s="731">
        <v>2029</v>
      </c>
      <c r="AH1" s="731">
        <v>2029</v>
      </c>
      <c r="AI1" s="731">
        <v>2030</v>
      </c>
      <c r="AJ1" s="731">
        <v>2030</v>
      </c>
      <c r="AK1" s="731">
        <v>2031</v>
      </c>
      <c r="AL1" s="731">
        <v>2031</v>
      </c>
      <c r="AM1" s="731">
        <v>2032</v>
      </c>
      <c r="AN1" s="731">
        <v>2032</v>
      </c>
      <c r="AO1" s="731">
        <v>2033</v>
      </c>
      <c r="AP1" s="731">
        <v>2033</v>
      </c>
    </row>
    <row r="2" spans="1:42" hidden="1">
      <c r="A2" s="731"/>
      <c r="B2" s="731"/>
      <c r="C2" s="731"/>
      <c r="D2" s="731"/>
      <c r="E2" s="731"/>
      <c r="F2" s="731"/>
      <c r="G2" s="731"/>
      <c r="H2" s="731"/>
      <c r="I2" s="731"/>
      <c r="J2" s="731"/>
      <c r="K2" s="731"/>
      <c r="L2" s="732"/>
      <c r="M2" s="733"/>
      <c r="N2" s="731"/>
      <c r="O2" s="731" t="s">
        <v>268</v>
      </c>
      <c r="P2" s="731" t="s">
        <v>306</v>
      </c>
      <c r="Q2" s="731" t="s">
        <v>286</v>
      </c>
      <c r="R2" s="731" t="s">
        <v>109</v>
      </c>
      <c r="S2" s="731" t="s">
        <v>268</v>
      </c>
      <c r="T2" s="731" t="s">
        <v>269</v>
      </c>
      <c r="U2" s="731" t="s">
        <v>268</v>
      </c>
      <c r="V2" s="731" t="s">
        <v>287</v>
      </c>
      <c r="W2" s="731" t="s">
        <v>288</v>
      </c>
      <c r="X2" s="731" t="s">
        <v>109</v>
      </c>
      <c r="Y2" s="731" t="s">
        <v>269</v>
      </c>
      <c r="Z2" s="731" t="s">
        <v>268</v>
      </c>
      <c r="AA2" s="731" t="s">
        <v>269</v>
      </c>
      <c r="AB2" s="731" t="s">
        <v>268</v>
      </c>
      <c r="AC2" s="731" t="s">
        <v>269</v>
      </c>
      <c r="AD2" s="731" t="s">
        <v>268</v>
      </c>
      <c r="AE2" s="731" t="s">
        <v>269</v>
      </c>
      <c r="AF2" s="731" t="s">
        <v>268</v>
      </c>
      <c r="AG2" s="731" t="s">
        <v>269</v>
      </c>
      <c r="AH2" s="731" t="s">
        <v>268</v>
      </c>
      <c r="AI2" s="731" t="s">
        <v>269</v>
      </c>
      <c r="AJ2" s="731" t="s">
        <v>268</v>
      </c>
      <c r="AK2" s="731" t="s">
        <v>269</v>
      </c>
      <c r="AL2" s="731" t="s">
        <v>268</v>
      </c>
      <c r="AM2" s="731" t="s">
        <v>269</v>
      </c>
      <c r="AN2" s="731" t="s">
        <v>268</v>
      </c>
      <c r="AO2" s="731" t="s">
        <v>269</v>
      </c>
      <c r="AP2" s="731" t="s">
        <v>268</v>
      </c>
    </row>
    <row r="3" spans="1:42" hidden="1">
      <c r="A3" s="731"/>
      <c r="B3" s="731"/>
      <c r="C3" s="731"/>
      <c r="D3" s="731"/>
      <c r="E3" s="731"/>
      <c r="F3" s="731"/>
      <c r="G3" s="731"/>
      <c r="H3" s="731"/>
      <c r="I3" s="731"/>
      <c r="J3" s="731"/>
      <c r="K3" s="731"/>
      <c r="L3" s="732"/>
      <c r="M3" s="733"/>
      <c r="N3" s="731"/>
      <c r="O3" s="731" t="s">
        <v>3018</v>
      </c>
      <c r="P3" s="731" t="s">
        <v>3019</v>
      </c>
      <c r="Q3" s="731" t="s">
        <v>3020</v>
      </c>
      <c r="R3" s="731" t="s">
        <v>3021</v>
      </c>
      <c r="S3" s="731" t="s">
        <v>3022</v>
      </c>
      <c r="T3" s="731" t="s">
        <v>3023</v>
      </c>
      <c r="U3" s="731" t="s">
        <v>3024</v>
      </c>
      <c r="V3" s="731" t="s">
        <v>3025</v>
      </c>
      <c r="W3" s="731" t="s">
        <v>3026</v>
      </c>
      <c r="X3" s="731" t="s">
        <v>3027</v>
      </c>
      <c r="Y3" s="731" t="s">
        <v>3028</v>
      </c>
      <c r="Z3" s="731" t="s">
        <v>3029</v>
      </c>
      <c r="AA3" s="731" t="s">
        <v>3030</v>
      </c>
      <c r="AB3" s="731" t="s">
        <v>3031</v>
      </c>
      <c r="AC3" s="731" t="s">
        <v>3032</v>
      </c>
      <c r="AD3" s="731" t="s">
        <v>3033</v>
      </c>
      <c r="AE3" s="731" t="s">
        <v>3034</v>
      </c>
      <c r="AF3" s="731" t="s">
        <v>3035</v>
      </c>
      <c r="AG3" s="731" t="s">
        <v>3036</v>
      </c>
      <c r="AH3" s="731" t="s">
        <v>3037</v>
      </c>
      <c r="AI3" s="731" t="s">
        <v>3038</v>
      </c>
      <c r="AJ3" s="731" t="s">
        <v>3039</v>
      </c>
      <c r="AK3" s="731" t="s">
        <v>3040</v>
      </c>
      <c r="AL3" s="731" t="s">
        <v>3041</v>
      </c>
      <c r="AM3" s="731" t="s">
        <v>3042</v>
      </c>
      <c r="AN3" s="731" t="s">
        <v>3043</v>
      </c>
      <c r="AO3" s="731" t="s">
        <v>3044</v>
      </c>
      <c r="AP3" s="731" t="s">
        <v>3045</v>
      </c>
    </row>
    <row r="4" spans="1:42" hidden="1">
      <c r="A4" s="731"/>
      <c r="B4" s="731"/>
      <c r="C4" s="731"/>
      <c r="D4" s="731"/>
      <c r="E4" s="731"/>
      <c r="F4" s="731"/>
      <c r="G4" s="731"/>
      <c r="H4" s="731"/>
      <c r="I4" s="731"/>
      <c r="J4" s="731"/>
      <c r="K4" s="731"/>
      <c r="L4" s="732"/>
      <c r="M4" s="733"/>
      <c r="N4" s="731"/>
      <c r="O4" s="731"/>
      <c r="P4" s="731"/>
      <c r="Q4" s="731"/>
      <c r="R4" s="731"/>
      <c r="S4" s="731"/>
      <c r="T4" s="731"/>
      <c r="U4" s="731"/>
      <c r="V4" s="731"/>
      <c r="W4" s="731"/>
      <c r="X4" s="731"/>
      <c r="Y4" s="731"/>
      <c r="Z4" s="731"/>
      <c r="AA4" s="731"/>
      <c r="AB4" s="731"/>
      <c r="AC4" s="731"/>
      <c r="AD4" s="731"/>
      <c r="AE4" s="731"/>
      <c r="AF4" s="731"/>
      <c r="AG4" s="731"/>
      <c r="AH4" s="731"/>
      <c r="AI4" s="731"/>
      <c r="AJ4" s="731"/>
      <c r="AK4" s="731"/>
      <c r="AL4" s="731"/>
      <c r="AM4" s="731"/>
      <c r="AN4" s="731"/>
      <c r="AO4" s="731"/>
      <c r="AP4" s="731"/>
    </row>
    <row r="5" spans="1:42" hidden="1">
      <c r="A5" s="731"/>
      <c r="B5" s="731"/>
      <c r="C5" s="731"/>
      <c r="D5" s="731"/>
      <c r="E5" s="731"/>
      <c r="F5" s="731"/>
      <c r="G5" s="731"/>
      <c r="H5" s="731"/>
      <c r="I5" s="731"/>
      <c r="J5" s="731"/>
      <c r="K5" s="731"/>
      <c r="L5" s="732"/>
      <c r="M5" s="733"/>
      <c r="N5" s="731"/>
      <c r="O5" s="731"/>
      <c r="P5" s="731"/>
      <c r="Q5" s="731"/>
      <c r="R5" s="731"/>
      <c r="S5" s="731"/>
      <c r="T5" s="731"/>
      <c r="U5" s="731"/>
      <c r="V5" s="731"/>
      <c r="W5" s="731"/>
      <c r="X5" s="731"/>
      <c r="Y5" s="731"/>
      <c r="Z5" s="731"/>
      <c r="AA5" s="731"/>
      <c r="AB5" s="731"/>
      <c r="AC5" s="731"/>
      <c r="AD5" s="731"/>
      <c r="AE5" s="731"/>
      <c r="AF5" s="731"/>
      <c r="AG5" s="731"/>
      <c r="AH5" s="731"/>
      <c r="AI5" s="731"/>
      <c r="AJ5" s="731"/>
      <c r="AK5" s="731"/>
      <c r="AL5" s="731"/>
      <c r="AM5" s="731"/>
      <c r="AN5" s="731"/>
      <c r="AO5" s="731"/>
      <c r="AP5" s="731"/>
    </row>
    <row r="6" spans="1:42" hidden="1">
      <c r="A6" s="731"/>
      <c r="B6" s="731"/>
      <c r="C6" s="731"/>
      <c r="D6" s="731"/>
      <c r="E6" s="731"/>
      <c r="F6" s="731"/>
      <c r="G6" s="731"/>
      <c r="H6" s="731"/>
      <c r="I6" s="731"/>
      <c r="J6" s="731"/>
      <c r="K6" s="731"/>
      <c r="L6" s="732"/>
      <c r="M6" s="733"/>
      <c r="N6" s="731"/>
      <c r="O6" s="731"/>
      <c r="P6" s="731"/>
      <c r="Q6" s="731"/>
      <c r="R6" s="731"/>
      <c r="S6" s="731"/>
      <c r="T6" s="731"/>
      <c r="U6" s="731"/>
      <c r="V6" s="731"/>
      <c r="W6" s="731"/>
      <c r="X6" s="731"/>
      <c r="Y6" s="731"/>
      <c r="Z6" s="731"/>
      <c r="AA6" s="731"/>
      <c r="AB6" s="731"/>
      <c r="AC6" s="731"/>
      <c r="AD6" s="731"/>
      <c r="AE6" s="731"/>
      <c r="AF6" s="731"/>
      <c r="AG6" s="731"/>
      <c r="AH6" s="731"/>
      <c r="AI6" s="731"/>
      <c r="AJ6" s="731"/>
      <c r="AK6" s="731"/>
      <c r="AL6" s="731"/>
      <c r="AM6" s="731"/>
      <c r="AN6" s="731"/>
      <c r="AO6" s="731"/>
      <c r="AP6" s="731"/>
    </row>
    <row r="7" spans="1:42" hidden="1">
      <c r="A7" s="731"/>
      <c r="B7" s="731"/>
      <c r="C7" s="731"/>
      <c r="D7" s="731"/>
      <c r="E7" s="731"/>
      <c r="F7" s="731"/>
      <c r="G7" s="731"/>
      <c r="H7" s="731"/>
      <c r="I7" s="731"/>
      <c r="J7" s="731"/>
      <c r="K7" s="731"/>
      <c r="L7" s="732"/>
      <c r="M7" s="733"/>
      <c r="N7" s="731"/>
      <c r="O7" s="731"/>
      <c r="P7" s="731"/>
      <c r="Q7" s="731"/>
      <c r="R7" s="731"/>
      <c r="S7" s="731"/>
      <c r="T7" s="731"/>
      <c r="U7" s="731"/>
      <c r="V7" s="731"/>
      <c r="W7" s="731"/>
      <c r="X7" s="731"/>
      <c r="Y7" s="731" t="b">
        <v>0</v>
      </c>
      <c r="Z7" s="731" t="b">
        <v>0</v>
      </c>
      <c r="AA7" s="731" t="b">
        <v>0</v>
      </c>
      <c r="AB7" s="731" t="b">
        <v>0</v>
      </c>
      <c r="AC7" s="731" t="b">
        <v>0</v>
      </c>
      <c r="AD7" s="731" t="b">
        <v>0</v>
      </c>
      <c r="AE7" s="731" t="b">
        <v>0</v>
      </c>
      <c r="AF7" s="731" t="b">
        <v>0</v>
      </c>
      <c r="AG7" s="731" t="b">
        <v>0</v>
      </c>
      <c r="AH7" s="731" t="b">
        <v>0</v>
      </c>
      <c r="AI7" s="731" t="b">
        <v>0</v>
      </c>
      <c r="AJ7" s="731" t="b">
        <v>0</v>
      </c>
      <c r="AK7" s="731" t="b">
        <v>0</v>
      </c>
      <c r="AL7" s="731" t="b">
        <v>0</v>
      </c>
      <c r="AM7" s="731" t="b">
        <v>0</v>
      </c>
      <c r="AN7" s="731" t="b">
        <v>0</v>
      </c>
      <c r="AO7" s="731" t="b">
        <v>0</v>
      </c>
      <c r="AP7" s="731" t="b">
        <v>0</v>
      </c>
    </row>
    <row r="8" spans="1:42" hidden="1">
      <c r="A8" s="731"/>
      <c r="B8" s="731"/>
      <c r="C8" s="731"/>
      <c r="D8" s="731"/>
      <c r="E8" s="731"/>
      <c r="F8" s="731"/>
      <c r="G8" s="731"/>
      <c r="H8" s="731"/>
      <c r="I8" s="731"/>
      <c r="J8" s="731"/>
      <c r="K8" s="731"/>
      <c r="L8" s="732"/>
      <c r="M8" s="733"/>
      <c r="N8" s="731"/>
      <c r="O8" s="731"/>
      <c r="P8" s="731"/>
      <c r="Q8" s="731"/>
      <c r="R8" s="731"/>
      <c r="S8" s="731"/>
      <c r="T8" s="731"/>
      <c r="U8" s="731"/>
      <c r="V8" s="731"/>
      <c r="W8" s="731"/>
      <c r="X8" s="731"/>
      <c r="Y8" s="731"/>
      <c r="Z8" s="731"/>
      <c r="AA8" s="731"/>
      <c r="AB8" s="731"/>
      <c r="AC8" s="731"/>
      <c r="AD8" s="731"/>
      <c r="AE8" s="731"/>
      <c r="AF8" s="731"/>
      <c r="AG8" s="731"/>
      <c r="AH8" s="731"/>
      <c r="AI8" s="731"/>
      <c r="AJ8" s="731"/>
      <c r="AK8" s="731"/>
      <c r="AL8" s="731"/>
      <c r="AM8" s="731"/>
      <c r="AN8" s="731"/>
      <c r="AO8" s="731"/>
      <c r="AP8" s="731"/>
    </row>
    <row r="9" spans="1:42" hidden="1">
      <c r="A9" s="731"/>
      <c r="B9" s="731"/>
      <c r="C9" s="731"/>
      <c r="D9" s="731"/>
      <c r="E9" s="731"/>
      <c r="F9" s="731"/>
      <c r="G9" s="731"/>
      <c r="H9" s="731"/>
      <c r="I9" s="731"/>
      <c r="J9" s="731"/>
      <c r="K9" s="731"/>
      <c r="L9" s="732"/>
      <c r="M9" s="733"/>
      <c r="N9" s="731"/>
      <c r="O9" s="731"/>
      <c r="P9" s="731"/>
      <c r="Q9" s="731"/>
      <c r="R9" s="731"/>
      <c r="S9" s="731"/>
      <c r="T9" s="731"/>
      <c r="U9" s="731"/>
      <c r="V9" s="731"/>
      <c r="W9" s="731"/>
      <c r="X9" s="731"/>
      <c r="Y9" s="731"/>
      <c r="Z9" s="731"/>
      <c r="AA9" s="731"/>
      <c r="AB9" s="731"/>
      <c r="AC9" s="731"/>
      <c r="AD9" s="731"/>
      <c r="AE9" s="731"/>
      <c r="AF9" s="731"/>
      <c r="AG9" s="731"/>
      <c r="AH9" s="731"/>
      <c r="AI9" s="731"/>
      <c r="AJ9" s="731"/>
      <c r="AK9" s="731"/>
      <c r="AL9" s="731"/>
      <c r="AM9" s="731"/>
      <c r="AN9" s="731"/>
      <c r="AO9" s="731"/>
      <c r="AP9" s="731"/>
    </row>
    <row r="10" spans="1:42" hidden="1">
      <c r="A10" s="731"/>
      <c r="B10" s="731"/>
      <c r="C10" s="731"/>
      <c r="D10" s="731"/>
      <c r="E10" s="731"/>
      <c r="F10" s="731"/>
      <c r="G10" s="731"/>
      <c r="H10" s="731"/>
      <c r="I10" s="731"/>
      <c r="J10" s="731"/>
      <c r="K10" s="731"/>
      <c r="L10" s="732"/>
      <c r="M10" s="733"/>
      <c r="N10" s="731"/>
      <c r="O10" s="731"/>
      <c r="P10" s="731"/>
      <c r="Q10" s="731"/>
      <c r="R10" s="731"/>
      <c r="S10" s="731"/>
      <c r="T10" s="731"/>
      <c r="U10" s="731"/>
      <c r="V10" s="731"/>
      <c r="W10" s="731"/>
      <c r="X10" s="731"/>
      <c r="Y10" s="731"/>
      <c r="Z10" s="731"/>
      <c r="AA10" s="731"/>
      <c r="AB10" s="731"/>
      <c r="AC10" s="731"/>
      <c r="AD10" s="731"/>
      <c r="AE10" s="731"/>
      <c r="AF10" s="731"/>
      <c r="AG10" s="731"/>
      <c r="AH10" s="731"/>
      <c r="AI10" s="731"/>
      <c r="AJ10" s="731"/>
      <c r="AK10" s="731"/>
      <c r="AL10" s="731"/>
      <c r="AM10" s="731"/>
      <c r="AN10" s="731"/>
      <c r="AO10" s="731"/>
      <c r="AP10" s="731"/>
    </row>
    <row r="11" spans="1:42" s="69" customFormat="1" ht="15" hidden="1" customHeight="1">
      <c r="A11" s="734"/>
      <c r="B11" s="734"/>
      <c r="C11" s="734"/>
      <c r="D11" s="734"/>
      <c r="E11" s="734"/>
      <c r="F11" s="734"/>
      <c r="G11" s="734"/>
      <c r="H11" s="734"/>
      <c r="I11" s="734"/>
      <c r="J11" s="734"/>
      <c r="K11" s="735"/>
      <c r="L11" s="736"/>
      <c r="M11" s="737"/>
      <c r="N11" s="738"/>
      <c r="O11" s="739"/>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row>
    <row r="12" spans="1:42" ht="22.5" customHeight="1">
      <c r="A12" s="731"/>
      <c r="B12" s="731"/>
      <c r="C12" s="731"/>
      <c r="D12" s="731"/>
      <c r="E12" s="731"/>
      <c r="F12" s="731"/>
      <c r="G12" s="731"/>
      <c r="H12" s="731"/>
      <c r="I12" s="731"/>
      <c r="J12" s="731"/>
      <c r="K12" s="731"/>
      <c r="L12" s="415" t="s">
        <v>1242</v>
      </c>
      <c r="M12" s="164"/>
      <c r="N12" s="164"/>
      <c r="O12" s="164"/>
      <c r="P12" s="164"/>
      <c r="Q12" s="164"/>
      <c r="R12" s="164"/>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row>
    <row r="13" spans="1:42" s="71" customFormat="1">
      <c r="A13" s="740"/>
      <c r="B13" s="740"/>
      <c r="C13" s="740"/>
      <c r="D13" s="740"/>
      <c r="E13" s="740"/>
      <c r="F13" s="740"/>
      <c r="G13" s="740"/>
      <c r="H13" s="740"/>
      <c r="I13" s="740"/>
      <c r="J13" s="740"/>
      <c r="K13" s="741"/>
      <c r="L13" s="742"/>
      <c r="M13" s="743"/>
      <c r="N13" s="744"/>
      <c r="O13" s="745"/>
      <c r="P13" s="740"/>
      <c r="Q13" s="740"/>
      <c r="R13" s="740"/>
      <c r="S13" s="740"/>
      <c r="T13" s="740"/>
      <c r="U13" s="740"/>
      <c r="V13" s="740"/>
      <c r="W13" s="740"/>
      <c r="X13" s="740"/>
      <c r="Y13" s="740"/>
      <c r="Z13" s="740"/>
      <c r="AA13" s="740"/>
      <c r="AB13" s="740"/>
      <c r="AC13" s="740"/>
      <c r="AD13" s="740"/>
      <c r="AE13" s="740"/>
      <c r="AF13" s="740"/>
      <c r="AG13" s="740"/>
      <c r="AH13" s="740"/>
      <c r="AI13" s="740"/>
      <c r="AJ13" s="740"/>
      <c r="AK13" s="740"/>
      <c r="AL13" s="740"/>
      <c r="AM13" s="740"/>
      <c r="AN13" s="740"/>
      <c r="AO13" s="740"/>
      <c r="AP13" s="740"/>
    </row>
    <row r="14" spans="1:42" ht="15" customHeight="1">
      <c r="A14" s="731"/>
      <c r="B14" s="731"/>
      <c r="C14" s="731"/>
      <c r="D14" s="731"/>
      <c r="E14" s="731"/>
      <c r="F14" s="731"/>
      <c r="G14" s="731"/>
      <c r="H14" s="731"/>
      <c r="I14" s="731"/>
      <c r="J14" s="731"/>
      <c r="K14" s="731"/>
      <c r="L14" s="1109" t="s">
        <v>16</v>
      </c>
      <c r="M14" s="1109" t="s">
        <v>285</v>
      </c>
      <c r="N14" s="1109" t="s">
        <v>135</v>
      </c>
      <c r="O14" s="746" t="s">
        <v>3010</v>
      </c>
      <c r="P14" s="746" t="s">
        <v>3010</v>
      </c>
      <c r="Q14" s="746" t="s">
        <v>3010</v>
      </c>
      <c r="R14" s="746" t="s">
        <v>3010</v>
      </c>
      <c r="S14" s="746" t="s">
        <v>3011</v>
      </c>
      <c r="T14" s="746" t="s">
        <v>3012</v>
      </c>
      <c r="U14" s="746" t="s">
        <v>3012</v>
      </c>
      <c r="V14" s="746" t="s">
        <v>3012</v>
      </c>
      <c r="W14" s="746" t="s">
        <v>3012</v>
      </c>
      <c r="X14" s="746" t="s">
        <v>3012</v>
      </c>
      <c r="Y14" s="746" t="s">
        <v>3046</v>
      </c>
      <c r="Z14" s="746" t="s">
        <v>3046</v>
      </c>
      <c r="AA14" s="746" t="s">
        <v>3047</v>
      </c>
      <c r="AB14" s="746" t="s">
        <v>3047</v>
      </c>
      <c r="AC14" s="746" t="s">
        <v>3048</v>
      </c>
      <c r="AD14" s="746" t="s">
        <v>3048</v>
      </c>
      <c r="AE14" s="746" t="s">
        <v>3049</v>
      </c>
      <c r="AF14" s="746" t="s">
        <v>3049</v>
      </c>
      <c r="AG14" s="746" t="s">
        <v>3050</v>
      </c>
      <c r="AH14" s="746" t="s">
        <v>3050</v>
      </c>
      <c r="AI14" s="746" t="s">
        <v>3051</v>
      </c>
      <c r="AJ14" s="746" t="s">
        <v>3051</v>
      </c>
      <c r="AK14" s="746" t="s">
        <v>3052</v>
      </c>
      <c r="AL14" s="746" t="s">
        <v>3052</v>
      </c>
      <c r="AM14" s="746" t="s">
        <v>3053</v>
      </c>
      <c r="AN14" s="746" t="s">
        <v>3053</v>
      </c>
      <c r="AO14" s="746" t="s">
        <v>3054</v>
      </c>
      <c r="AP14" s="746" t="s">
        <v>3054</v>
      </c>
    </row>
    <row r="15" spans="1:42" ht="69" customHeight="1">
      <c r="A15" s="731" t="s">
        <v>1127</v>
      </c>
      <c r="B15" s="731"/>
      <c r="C15" s="731"/>
      <c r="D15" s="731"/>
      <c r="E15" s="731"/>
      <c r="F15" s="731"/>
      <c r="G15" s="731"/>
      <c r="H15" s="731"/>
      <c r="I15" s="731"/>
      <c r="J15" s="731"/>
      <c r="K15" s="731"/>
      <c r="L15" s="1109"/>
      <c r="M15" s="1109"/>
      <c r="N15" s="1109"/>
      <c r="O15" s="747" t="s">
        <v>268</v>
      </c>
      <c r="P15" s="748" t="s">
        <v>306</v>
      </c>
      <c r="Q15" s="746" t="s">
        <v>286</v>
      </c>
      <c r="R15" s="746" t="s">
        <v>109</v>
      </c>
      <c r="S15" s="749" t="s">
        <v>268</v>
      </c>
      <c r="T15" s="747" t="s">
        <v>269</v>
      </c>
      <c r="U15" s="746" t="s">
        <v>268</v>
      </c>
      <c r="V15" s="750" t="s">
        <v>287</v>
      </c>
      <c r="W15" s="750" t="s">
        <v>288</v>
      </c>
      <c r="X15" s="746" t="s">
        <v>109</v>
      </c>
      <c r="Y15" s="749" t="s">
        <v>269</v>
      </c>
      <c r="Z15" s="746" t="s">
        <v>268</v>
      </c>
      <c r="AA15" s="749" t="s">
        <v>269</v>
      </c>
      <c r="AB15" s="746" t="s">
        <v>268</v>
      </c>
      <c r="AC15" s="749" t="s">
        <v>269</v>
      </c>
      <c r="AD15" s="746" t="s">
        <v>268</v>
      </c>
      <c r="AE15" s="749" t="s">
        <v>269</v>
      </c>
      <c r="AF15" s="746" t="s">
        <v>268</v>
      </c>
      <c r="AG15" s="749" t="s">
        <v>269</v>
      </c>
      <c r="AH15" s="746" t="s">
        <v>268</v>
      </c>
      <c r="AI15" s="749" t="s">
        <v>269</v>
      </c>
      <c r="AJ15" s="746" t="s">
        <v>268</v>
      </c>
      <c r="AK15" s="749" t="s">
        <v>269</v>
      </c>
      <c r="AL15" s="746" t="s">
        <v>268</v>
      </c>
      <c r="AM15" s="749" t="s">
        <v>269</v>
      </c>
      <c r="AN15" s="746" t="s">
        <v>268</v>
      </c>
      <c r="AO15" s="749" t="s">
        <v>269</v>
      </c>
      <c r="AP15" s="746" t="s">
        <v>268</v>
      </c>
    </row>
    <row r="16" spans="1:42" s="88" customFormat="1">
      <c r="A16" s="707" t="s">
        <v>18</v>
      </c>
      <c r="B16" s="751"/>
      <c r="C16" s="751"/>
      <c r="D16" s="751"/>
      <c r="E16" s="751"/>
      <c r="F16" s="751"/>
      <c r="G16" s="751"/>
      <c r="H16" s="751"/>
      <c r="I16" s="751"/>
      <c r="J16" s="751"/>
      <c r="K16" s="751"/>
      <c r="L16" s="687" t="s">
        <v>3005</v>
      </c>
      <c r="M16" s="708"/>
      <c r="N16" s="688"/>
      <c r="O16" s="688"/>
      <c r="P16" s="688"/>
      <c r="Q16" s="688"/>
      <c r="R16" s="688"/>
      <c r="S16" s="688"/>
      <c r="T16" s="688"/>
      <c r="U16" s="688"/>
      <c r="V16" s="688"/>
      <c r="W16" s="688"/>
      <c r="X16" s="688"/>
      <c r="Y16" s="688"/>
      <c r="Z16" s="688"/>
      <c r="AA16" s="688"/>
      <c r="AB16" s="688"/>
      <c r="AC16" s="688"/>
      <c r="AD16" s="688"/>
      <c r="AE16" s="688"/>
      <c r="AF16" s="688"/>
      <c r="AG16" s="688"/>
      <c r="AH16" s="688"/>
      <c r="AI16" s="688"/>
      <c r="AJ16" s="688"/>
      <c r="AK16" s="688"/>
      <c r="AL16" s="688"/>
      <c r="AM16" s="752"/>
      <c r="AN16" s="752"/>
      <c r="AO16" s="752"/>
      <c r="AP16" s="752"/>
    </row>
    <row r="17" spans="1:42">
      <c r="A17" s="753" t="s">
        <v>18</v>
      </c>
      <c r="B17" s="731" t="s">
        <v>1199</v>
      </c>
      <c r="C17" s="731"/>
      <c r="D17" s="731"/>
      <c r="E17" s="731"/>
      <c r="F17" s="731"/>
      <c r="G17" s="731"/>
      <c r="H17" s="731"/>
      <c r="I17" s="731"/>
      <c r="J17" s="731"/>
      <c r="K17" s="731"/>
      <c r="L17" s="754"/>
      <c r="M17" s="755" t="s">
        <v>145</v>
      </c>
      <c r="N17" s="756"/>
      <c r="O17" s="756"/>
      <c r="P17" s="756"/>
      <c r="Q17" s="756"/>
      <c r="R17" s="756"/>
      <c r="S17" s="757">
        <v>1.0494000000000001</v>
      </c>
      <c r="T17" s="757">
        <v>1.06128</v>
      </c>
      <c r="U17" s="757">
        <v>1.06128</v>
      </c>
      <c r="V17" s="756"/>
      <c r="W17" s="756"/>
      <c r="X17" s="756"/>
      <c r="Y17" s="757">
        <v>1</v>
      </c>
      <c r="Z17" s="757">
        <v>1</v>
      </c>
      <c r="AA17" s="757">
        <v>1</v>
      </c>
      <c r="AB17" s="757">
        <v>1</v>
      </c>
      <c r="AC17" s="757">
        <v>1</v>
      </c>
      <c r="AD17" s="757">
        <v>1</v>
      </c>
      <c r="AE17" s="757">
        <v>1</v>
      </c>
      <c r="AF17" s="757">
        <v>1</v>
      </c>
      <c r="AG17" s="757">
        <v>1</v>
      </c>
      <c r="AH17" s="757">
        <v>1</v>
      </c>
      <c r="AI17" s="757">
        <v>1</v>
      </c>
      <c r="AJ17" s="757">
        <v>1</v>
      </c>
      <c r="AK17" s="757">
        <v>1</v>
      </c>
      <c r="AL17" s="757">
        <v>1</v>
      </c>
      <c r="AM17" s="757">
        <v>1</v>
      </c>
      <c r="AN17" s="757">
        <v>1</v>
      </c>
      <c r="AO17" s="757">
        <v>1</v>
      </c>
      <c r="AP17" s="757">
        <v>1</v>
      </c>
    </row>
    <row r="18" spans="1:42" ht="22.8">
      <c r="A18" s="753" t="s">
        <v>18</v>
      </c>
      <c r="B18" s="731" t="s">
        <v>1196</v>
      </c>
      <c r="C18" s="731" t="s">
        <v>1407</v>
      </c>
      <c r="D18" s="731"/>
      <c r="E18" s="731"/>
      <c r="F18" s="731"/>
      <c r="G18" s="731"/>
      <c r="H18" s="731"/>
      <c r="I18" s="731"/>
      <c r="J18" s="731"/>
      <c r="K18" s="731"/>
      <c r="L18" s="758">
        <v>1</v>
      </c>
      <c r="M18" s="759" t="s">
        <v>289</v>
      </c>
      <c r="N18" s="760" t="s">
        <v>137</v>
      </c>
      <c r="O18" s="761">
        <v>1</v>
      </c>
      <c r="P18" s="761">
        <v>1</v>
      </c>
      <c r="Q18" s="761">
        <v>1</v>
      </c>
      <c r="R18" s="762"/>
      <c r="S18" s="761">
        <v>1</v>
      </c>
      <c r="T18" s="761">
        <v>1</v>
      </c>
      <c r="U18" s="761">
        <v>1</v>
      </c>
      <c r="V18" s="334">
        <v>1</v>
      </c>
      <c r="W18" s="329">
        <v>0</v>
      </c>
      <c r="X18" s="762"/>
      <c r="Y18" s="761"/>
      <c r="Z18" s="761"/>
      <c r="AA18" s="761"/>
      <c r="AB18" s="761"/>
      <c r="AC18" s="761"/>
      <c r="AD18" s="761"/>
      <c r="AE18" s="761"/>
      <c r="AF18" s="761"/>
      <c r="AG18" s="761"/>
      <c r="AH18" s="761"/>
      <c r="AI18" s="761"/>
      <c r="AJ18" s="761"/>
      <c r="AK18" s="761"/>
      <c r="AL18" s="761"/>
      <c r="AM18" s="761"/>
      <c r="AN18" s="761"/>
      <c r="AO18" s="761"/>
      <c r="AP18" s="761"/>
    </row>
    <row r="19" spans="1:42">
      <c r="A19" s="753" t="s">
        <v>18</v>
      </c>
      <c r="B19" s="731" t="s">
        <v>1197</v>
      </c>
      <c r="C19" s="731" t="s">
        <v>1408</v>
      </c>
      <c r="D19" s="731"/>
      <c r="E19" s="731"/>
      <c r="F19" s="731"/>
      <c r="G19" s="731"/>
      <c r="H19" s="731"/>
      <c r="I19" s="731"/>
      <c r="J19" s="731"/>
      <c r="K19" s="731"/>
      <c r="L19" s="758">
        <v>2</v>
      </c>
      <c r="M19" s="763" t="s">
        <v>146</v>
      </c>
      <c r="N19" s="760" t="s">
        <v>137</v>
      </c>
      <c r="O19" s="761">
        <v>4.3</v>
      </c>
      <c r="P19" s="761">
        <v>13.8</v>
      </c>
      <c r="Q19" s="761">
        <v>13.8</v>
      </c>
      <c r="R19" s="762"/>
      <c r="S19" s="761">
        <v>6</v>
      </c>
      <c r="T19" s="761">
        <v>7.2</v>
      </c>
      <c r="U19" s="761">
        <v>7.2</v>
      </c>
      <c r="V19" s="334">
        <v>1.2</v>
      </c>
      <c r="W19" s="329">
        <v>0</v>
      </c>
      <c r="X19" s="762"/>
      <c r="Y19" s="761"/>
      <c r="Z19" s="761"/>
      <c r="AA19" s="761"/>
      <c r="AB19" s="761"/>
      <c r="AC19" s="761"/>
      <c r="AD19" s="761"/>
      <c r="AE19" s="761"/>
      <c r="AF19" s="761"/>
      <c r="AG19" s="761"/>
      <c r="AH19" s="761"/>
      <c r="AI19" s="761"/>
      <c r="AJ19" s="761"/>
      <c r="AK19" s="761"/>
      <c r="AL19" s="761"/>
      <c r="AM19" s="761"/>
      <c r="AN19" s="761"/>
      <c r="AO19" s="761"/>
      <c r="AP19" s="761"/>
    </row>
    <row r="20" spans="1:42">
      <c r="A20" s="753" t="s">
        <v>18</v>
      </c>
      <c r="B20" s="731"/>
      <c r="C20" s="731" t="s">
        <v>1519</v>
      </c>
      <c r="D20" s="731"/>
      <c r="E20" s="731"/>
      <c r="F20" s="731"/>
      <c r="G20" s="731"/>
      <c r="H20" s="731"/>
      <c r="I20" s="731"/>
      <c r="J20" s="731"/>
      <c r="K20" s="731"/>
      <c r="L20" s="758">
        <v>3</v>
      </c>
      <c r="M20" s="759" t="s">
        <v>290</v>
      </c>
      <c r="N20" s="760" t="s">
        <v>137</v>
      </c>
      <c r="O20" s="761">
        <v>8.6999999999999993</v>
      </c>
      <c r="P20" s="761">
        <v>5.0999999999999996</v>
      </c>
      <c r="Q20" s="761">
        <v>5.0999999999999996</v>
      </c>
      <c r="R20" s="762"/>
      <c r="S20" s="761">
        <v>4.5</v>
      </c>
      <c r="T20" s="761">
        <v>5</v>
      </c>
      <c r="U20" s="761">
        <v>5</v>
      </c>
      <c r="V20" s="334">
        <v>1.1111111111111112</v>
      </c>
      <c r="W20" s="329">
        <v>0</v>
      </c>
      <c r="X20" s="762"/>
      <c r="Y20" s="761"/>
      <c r="Z20" s="761"/>
      <c r="AA20" s="761"/>
      <c r="AB20" s="761"/>
      <c r="AC20" s="761"/>
      <c r="AD20" s="761"/>
      <c r="AE20" s="761"/>
      <c r="AF20" s="761"/>
      <c r="AG20" s="761"/>
      <c r="AH20" s="761"/>
      <c r="AI20" s="761"/>
      <c r="AJ20" s="761"/>
      <c r="AK20" s="761"/>
      <c r="AL20" s="761"/>
      <c r="AM20" s="761"/>
      <c r="AN20" s="761"/>
      <c r="AO20" s="761"/>
      <c r="AP20" s="761"/>
    </row>
    <row r="21" spans="1:42">
      <c r="A21" s="753" t="s">
        <v>18</v>
      </c>
      <c r="B21" s="731" t="s">
        <v>1198</v>
      </c>
      <c r="C21" s="731" t="s">
        <v>1527</v>
      </c>
      <c r="D21" s="731"/>
      <c r="E21" s="731"/>
      <c r="F21" s="731"/>
      <c r="G21" s="731"/>
      <c r="H21" s="731"/>
      <c r="I21" s="731"/>
      <c r="J21" s="731"/>
      <c r="K21" s="731"/>
      <c r="L21" s="758">
        <v>4</v>
      </c>
      <c r="M21" s="763" t="s">
        <v>291</v>
      </c>
      <c r="N21" s="760" t="s">
        <v>137</v>
      </c>
      <c r="O21" s="761"/>
      <c r="P21" s="764"/>
      <c r="Q21" s="765"/>
      <c r="R21" s="762"/>
      <c r="S21" s="761"/>
      <c r="T21" s="764"/>
      <c r="U21" s="764"/>
      <c r="V21" s="334">
        <v>0</v>
      </c>
      <c r="W21" s="329">
        <v>0</v>
      </c>
      <c r="X21" s="762"/>
      <c r="Y21" s="761"/>
      <c r="Z21" s="761"/>
      <c r="AA21" s="761"/>
      <c r="AB21" s="761"/>
      <c r="AC21" s="761"/>
      <c r="AD21" s="761"/>
      <c r="AE21" s="761"/>
      <c r="AF21" s="761"/>
      <c r="AG21" s="761"/>
      <c r="AH21" s="761"/>
      <c r="AI21" s="761"/>
      <c r="AJ21" s="761"/>
      <c r="AK21" s="761"/>
      <c r="AL21" s="761"/>
      <c r="AM21" s="761"/>
      <c r="AN21" s="761"/>
      <c r="AO21" s="761"/>
      <c r="AP21" s="761"/>
    </row>
    <row r="22" spans="1:42">
      <c r="A22" s="753" t="s">
        <v>18</v>
      </c>
      <c r="B22" s="731"/>
      <c r="C22" s="731"/>
      <c r="D22" s="731"/>
      <c r="E22" s="731"/>
      <c r="F22" s="731"/>
      <c r="G22" s="731"/>
      <c r="H22" s="731"/>
      <c r="I22" s="731"/>
      <c r="J22" s="731"/>
      <c r="K22" s="731"/>
      <c r="L22" s="754"/>
      <c r="M22" s="755" t="s">
        <v>292</v>
      </c>
      <c r="N22" s="756"/>
      <c r="O22" s="766"/>
      <c r="P22" s="766"/>
      <c r="Q22" s="766"/>
      <c r="R22" s="767"/>
      <c r="S22" s="766"/>
      <c r="T22" s="766"/>
      <c r="U22" s="766"/>
      <c r="V22" s="768"/>
      <c r="W22" s="766"/>
      <c r="X22" s="767"/>
      <c r="Y22" s="766"/>
      <c r="Z22" s="766"/>
      <c r="AA22" s="766"/>
      <c r="AB22" s="766"/>
      <c r="AC22" s="766"/>
      <c r="AD22" s="766"/>
      <c r="AE22" s="766"/>
      <c r="AF22" s="766"/>
      <c r="AG22" s="766"/>
      <c r="AH22" s="766"/>
      <c r="AI22" s="766"/>
      <c r="AJ22" s="766"/>
      <c r="AK22" s="766"/>
      <c r="AL22" s="766"/>
      <c r="AM22" s="766"/>
      <c r="AN22" s="766"/>
      <c r="AO22" s="766"/>
      <c r="AP22" s="769"/>
    </row>
    <row r="23" spans="1:42">
      <c r="A23" s="753" t="s">
        <v>18</v>
      </c>
      <c r="B23" s="731" t="s">
        <v>1201</v>
      </c>
      <c r="C23" s="731" t="s">
        <v>1439</v>
      </c>
      <c r="D23" s="731"/>
      <c r="E23" s="731"/>
      <c r="F23" s="731"/>
      <c r="G23" s="731"/>
      <c r="H23" s="731"/>
      <c r="I23" s="731"/>
      <c r="J23" s="731"/>
      <c r="K23" s="731"/>
      <c r="L23" s="758">
        <v>1</v>
      </c>
      <c r="M23" s="763" t="s">
        <v>293</v>
      </c>
      <c r="N23" s="760" t="s">
        <v>137</v>
      </c>
      <c r="O23" s="764"/>
      <c r="P23" s="761"/>
      <c r="Q23" s="761"/>
      <c r="R23" s="762"/>
      <c r="S23" s="764"/>
      <c r="T23" s="761"/>
      <c r="U23" s="761"/>
      <c r="V23" s="334">
        <v>0</v>
      </c>
      <c r="W23" s="329">
        <v>0</v>
      </c>
      <c r="X23" s="762"/>
      <c r="Y23" s="764"/>
      <c r="Z23" s="764"/>
      <c r="AA23" s="764"/>
      <c r="AB23" s="764"/>
      <c r="AC23" s="764"/>
      <c r="AD23" s="764"/>
      <c r="AE23" s="764"/>
      <c r="AF23" s="764"/>
      <c r="AG23" s="764"/>
      <c r="AH23" s="764"/>
      <c r="AI23" s="764"/>
      <c r="AJ23" s="764"/>
      <c r="AK23" s="764"/>
      <c r="AL23" s="764"/>
      <c r="AM23" s="764"/>
      <c r="AN23" s="764"/>
      <c r="AO23" s="764"/>
      <c r="AP23" s="764"/>
    </row>
    <row r="24" spans="1:42">
      <c r="A24" s="753" t="s">
        <v>18</v>
      </c>
      <c r="B24" s="731"/>
      <c r="C24" s="731" t="s">
        <v>1576</v>
      </c>
      <c r="D24" s="731"/>
      <c r="E24" s="731"/>
      <c r="F24" s="731"/>
      <c r="G24" s="731"/>
      <c r="H24" s="731"/>
      <c r="I24" s="731"/>
      <c r="J24" s="731"/>
      <c r="K24" s="731"/>
      <c r="L24" s="758">
        <v>2</v>
      </c>
      <c r="M24" s="763" t="s">
        <v>294</v>
      </c>
      <c r="N24" s="760" t="s">
        <v>137</v>
      </c>
      <c r="O24" s="764">
        <v>20</v>
      </c>
      <c r="P24" s="761">
        <v>20</v>
      </c>
      <c r="Q24" s="764">
        <v>20</v>
      </c>
      <c r="R24" s="762"/>
      <c r="S24" s="764">
        <v>20</v>
      </c>
      <c r="T24" s="764">
        <v>20</v>
      </c>
      <c r="U24" s="764">
        <v>20</v>
      </c>
      <c r="V24" s="334">
        <v>1</v>
      </c>
      <c r="W24" s="329">
        <v>0</v>
      </c>
      <c r="X24" s="762"/>
      <c r="Y24" s="764"/>
      <c r="Z24" s="764"/>
      <c r="AA24" s="764"/>
      <c r="AB24" s="764"/>
      <c r="AC24" s="764"/>
      <c r="AD24" s="764"/>
      <c r="AE24" s="764"/>
      <c r="AF24" s="764"/>
      <c r="AG24" s="764"/>
      <c r="AH24" s="764"/>
      <c r="AI24" s="764"/>
      <c r="AJ24" s="764"/>
      <c r="AK24" s="764"/>
      <c r="AL24" s="764"/>
      <c r="AM24" s="764"/>
      <c r="AN24" s="764"/>
      <c r="AO24" s="764"/>
      <c r="AP24" s="764"/>
    </row>
    <row r="25" spans="1:42">
      <c r="A25" s="753" t="s">
        <v>18</v>
      </c>
      <c r="B25" s="731"/>
      <c r="C25" s="731"/>
      <c r="D25" s="731"/>
      <c r="E25" s="731"/>
      <c r="F25" s="731"/>
      <c r="G25" s="731"/>
      <c r="H25" s="731"/>
      <c r="I25" s="731"/>
      <c r="J25" s="731"/>
      <c r="K25" s="731"/>
      <c r="L25" s="160">
        <v>3</v>
      </c>
      <c r="M25" s="161" t="s">
        <v>295</v>
      </c>
      <c r="N25" s="770"/>
      <c r="O25" s="326"/>
      <c r="P25" s="329"/>
      <c r="Q25" s="331"/>
      <c r="R25" s="317"/>
      <c r="S25" s="326"/>
      <c r="T25" s="329"/>
      <c r="U25" s="329"/>
      <c r="V25" s="334"/>
      <c r="W25" s="329"/>
      <c r="X25" s="317"/>
      <c r="Y25" s="326"/>
      <c r="Z25" s="326"/>
      <c r="AA25" s="326"/>
      <c r="AB25" s="326"/>
      <c r="AC25" s="326"/>
      <c r="AD25" s="326"/>
      <c r="AE25" s="326"/>
      <c r="AF25" s="326"/>
      <c r="AG25" s="326"/>
      <c r="AH25" s="326"/>
      <c r="AI25" s="326"/>
      <c r="AJ25" s="326"/>
      <c r="AK25" s="326"/>
      <c r="AL25" s="326"/>
      <c r="AM25" s="326"/>
      <c r="AN25" s="326"/>
      <c r="AO25" s="326"/>
      <c r="AP25" s="326"/>
    </row>
    <row r="26" spans="1:42" ht="22.8">
      <c r="A26" s="753" t="s">
        <v>18</v>
      </c>
      <c r="B26" s="731"/>
      <c r="C26" s="731" t="s">
        <v>1663</v>
      </c>
      <c r="D26" s="731"/>
      <c r="E26" s="731"/>
      <c r="F26" s="731"/>
      <c r="G26" s="731"/>
      <c r="H26" s="731"/>
      <c r="I26" s="731"/>
      <c r="J26" s="731"/>
      <c r="K26" s="731"/>
      <c r="L26" s="771" t="s">
        <v>1018</v>
      </c>
      <c r="M26" s="772" t="s">
        <v>296</v>
      </c>
      <c r="N26" s="770" t="s">
        <v>297</v>
      </c>
      <c r="O26" s="761"/>
      <c r="P26" s="764"/>
      <c r="Q26" s="765"/>
      <c r="R26" s="762"/>
      <c r="S26" s="761"/>
      <c r="T26" s="764"/>
      <c r="U26" s="764"/>
      <c r="V26" s="334">
        <v>0</v>
      </c>
      <c r="W26" s="329">
        <v>0</v>
      </c>
      <c r="X26" s="762"/>
      <c r="Y26" s="761"/>
      <c r="Z26" s="761"/>
      <c r="AA26" s="761"/>
      <c r="AB26" s="761"/>
      <c r="AC26" s="761"/>
      <c r="AD26" s="761"/>
      <c r="AE26" s="761"/>
      <c r="AF26" s="761"/>
      <c r="AG26" s="761"/>
      <c r="AH26" s="761"/>
      <c r="AI26" s="761"/>
      <c r="AJ26" s="761"/>
      <c r="AK26" s="761"/>
      <c r="AL26" s="761"/>
      <c r="AM26" s="761"/>
      <c r="AN26" s="761"/>
      <c r="AO26" s="761"/>
      <c r="AP26" s="761"/>
    </row>
    <row r="27" spans="1:42" ht="22.8">
      <c r="A27" s="753" t="s">
        <v>18</v>
      </c>
      <c r="B27" s="731"/>
      <c r="C27" s="731" t="s">
        <v>1664</v>
      </c>
      <c r="D27" s="731"/>
      <c r="E27" s="731"/>
      <c r="F27" s="731"/>
      <c r="G27" s="731"/>
      <c r="H27" s="731"/>
      <c r="I27" s="731"/>
      <c r="J27" s="731"/>
      <c r="K27" s="731"/>
      <c r="L27" s="771" t="s">
        <v>1019</v>
      </c>
      <c r="M27" s="772" t="s">
        <v>298</v>
      </c>
      <c r="N27" s="770" t="s">
        <v>297</v>
      </c>
      <c r="O27" s="761"/>
      <c r="P27" s="764"/>
      <c r="Q27" s="765"/>
      <c r="R27" s="762"/>
      <c r="S27" s="761"/>
      <c r="T27" s="764"/>
      <c r="U27" s="764"/>
      <c r="V27" s="334">
        <v>0</v>
      </c>
      <c r="W27" s="329">
        <v>0</v>
      </c>
      <c r="X27" s="762"/>
      <c r="Y27" s="761"/>
      <c r="Z27" s="761"/>
      <c r="AA27" s="761"/>
      <c r="AB27" s="761"/>
      <c r="AC27" s="761"/>
      <c r="AD27" s="761"/>
      <c r="AE27" s="761"/>
      <c r="AF27" s="761"/>
      <c r="AG27" s="761"/>
      <c r="AH27" s="761"/>
      <c r="AI27" s="761"/>
      <c r="AJ27" s="761"/>
      <c r="AK27" s="761"/>
      <c r="AL27" s="761"/>
      <c r="AM27" s="761"/>
      <c r="AN27" s="761"/>
      <c r="AO27" s="761"/>
      <c r="AP27" s="761"/>
    </row>
    <row r="28" spans="1:42" ht="22.8">
      <c r="A28" s="753" t="s">
        <v>18</v>
      </c>
      <c r="B28" s="731"/>
      <c r="C28" s="731" t="s">
        <v>1665</v>
      </c>
      <c r="D28" s="731"/>
      <c r="E28" s="731"/>
      <c r="F28" s="731"/>
      <c r="G28" s="731"/>
      <c r="H28" s="731"/>
      <c r="I28" s="731"/>
      <c r="J28" s="731"/>
      <c r="K28" s="731"/>
      <c r="L28" s="771" t="s">
        <v>1020</v>
      </c>
      <c r="M28" s="772" t="s">
        <v>299</v>
      </c>
      <c r="N28" s="770" t="s">
        <v>297</v>
      </c>
      <c r="O28" s="761"/>
      <c r="P28" s="764"/>
      <c r="Q28" s="765"/>
      <c r="R28" s="762"/>
      <c r="S28" s="761"/>
      <c r="T28" s="764"/>
      <c r="U28" s="764"/>
      <c r="V28" s="334">
        <v>0</v>
      </c>
      <c r="W28" s="329">
        <v>0</v>
      </c>
      <c r="X28" s="762"/>
      <c r="Y28" s="761"/>
      <c r="Z28" s="761"/>
      <c r="AA28" s="761"/>
      <c r="AB28" s="761"/>
      <c r="AC28" s="761"/>
      <c r="AD28" s="761"/>
      <c r="AE28" s="761"/>
      <c r="AF28" s="761"/>
      <c r="AG28" s="761"/>
      <c r="AH28" s="761"/>
      <c r="AI28" s="761"/>
      <c r="AJ28" s="761"/>
      <c r="AK28" s="761"/>
      <c r="AL28" s="761"/>
      <c r="AM28" s="761"/>
      <c r="AN28" s="761"/>
      <c r="AO28" s="761"/>
      <c r="AP28" s="761"/>
    </row>
    <row r="29" spans="1:42" ht="22.8">
      <c r="A29" s="753" t="s">
        <v>18</v>
      </c>
      <c r="B29" s="731"/>
      <c r="C29" s="731" t="s">
        <v>1666</v>
      </c>
      <c r="D29" s="731"/>
      <c r="E29" s="731"/>
      <c r="F29" s="731"/>
      <c r="G29" s="731"/>
      <c r="H29" s="731"/>
      <c r="I29" s="731"/>
      <c r="J29" s="731"/>
      <c r="K29" s="731"/>
      <c r="L29" s="771" t="s">
        <v>1021</v>
      </c>
      <c r="M29" s="772" t="s">
        <v>300</v>
      </c>
      <c r="N29" s="770" t="s">
        <v>297</v>
      </c>
      <c r="O29" s="761"/>
      <c r="P29" s="764"/>
      <c r="Q29" s="765"/>
      <c r="R29" s="762"/>
      <c r="S29" s="761"/>
      <c r="T29" s="764"/>
      <c r="U29" s="764"/>
      <c r="V29" s="334">
        <v>0</v>
      </c>
      <c r="W29" s="329">
        <v>0</v>
      </c>
      <c r="X29" s="762"/>
      <c r="Y29" s="761"/>
      <c r="Z29" s="761"/>
      <c r="AA29" s="761"/>
      <c r="AB29" s="761"/>
      <c r="AC29" s="761"/>
      <c r="AD29" s="761"/>
      <c r="AE29" s="761"/>
      <c r="AF29" s="761"/>
      <c r="AG29" s="761"/>
      <c r="AH29" s="761"/>
      <c r="AI29" s="761"/>
      <c r="AJ29" s="761"/>
      <c r="AK29" s="761"/>
      <c r="AL29" s="761"/>
      <c r="AM29" s="761"/>
      <c r="AN29" s="761"/>
      <c r="AO29" s="761"/>
      <c r="AP29" s="761"/>
    </row>
    <row r="30" spans="1:42">
      <c r="A30" s="753" t="s">
        <v>18</v>
      </c>
      <c r="B30" s="731"/>
      <c r="C30" s="731" t="s">
        <v>1444</v>
      </c>
      <c r="D30" s="731"/>
      <c r="E30" s="731"/>
      <c r="F30" s="731"/>
      <c r="G30" s="731"/>
      <c r="H30" s="731"/>
      <c r="I30" s="731"/>
      <c r="J30" s="731"/>
      <c r="K30" s="731"/>
      <c r="L30" s="758">
        <v>4</v>
      </c>
      <c r="M30" s="773" t="s">
        <v>301</v>
      </c>
      <c r="N30" s="760" t="s">
        <v>137</v>
      </c>
      <c r="O30" s="761"/>
      <c r="P30" s="764"/>
      <c r="Q30" s="765"/>
      <c r="R30" s="762"/>
      <c r="S30" s="761"/>
      <c r="T30" s="764"/>
      <c r="U30" s="764"/>
      <c r="V30" s="334">
        <v>0</v>
      </c>
      <c r="W30" s="329">
        <v>0</v>
      </c>
      <c r="X30" s="762"/>
      <c r="Y30" s="761"/>
      <c r="Z30" s="761"/>
      <c r="AA30" s="761"/>
      <c r="AB30" s="761"/>
      <c r="AC30" s="761"/>
      <c r="AD30" s="761"/>
      <c r="AE30" s="761"/>
      <c r="AF30" s="761"/>
      <c r="AG30" s="761"/>
      <c r="AH30" s="761"/>
      <c r="AI30" s="761"/>
      <c r="AJ30" s="761"/>
      <c r="AK30" s="761"/>
      <c r="AL30" s="761"/>
      <c r="AM30" s="761"/>
      <c r="AN30" s="761"/>
      <c r="AO30" s="761"/>
      <c r="AP30" s="761"/>
    </row>
    <row r="31" spans="1:42">
      <c r="A31" s="753" t="s">
        <v>18</v>
      </c>
      <c r="B31" s="731"/>
      <c r="C31" s="731" t="s">
        <v>1446</v>
      </c>
      <c r="D31" s="731"/>
      <c r="E31" s="731"/>
      <c r="F31" s="731"/>
      <c r="G31" s="731"/>
      <c r="H31" s="731"/>
      <c r="I31" s="731"/>
      <c r="J31" s="731"/>
      <c r="K31" s="731"/>
      <c r="L31" s="758">
        <v>5</v>
      </c>
      <c r="M31" s="773" t="s">
        <v>302</v>
      </c>
      <c r="N31" s="760" t="s">
        <v>137</v>
      </c>
      <c r="O31" s="761"/>
      <c r="P31" s="764"/>
      <c r="Q31" s="765"/>
      <c r="R31" s="762"/>
      <c r="S31" s="761"/>
      <c r="T31" s="764"/>
      <c r="U31" s="764"/>
      <c r="V31" s="334">
        <v>0</v>
      </c>
      <c r="W31" s="329">
        <v>0</v>
      </c>
      <c r="X31" s="762"/>
      <c r="Y31" s="761"/>
      <c r="Z31" s="761"/>
      <c r="AA31" s="761"/>
      <c r="AB31" s="761"/>
      <c r="AC31" s="761"/>
      <c r="AD31" s="761"/>
      <c r="AE31" s="761"/>
      <c r="AF31" s="761"/>
      <c r="AG31" s="761"/>
      <c r="AH31" s="761"/>
      <c r="AI31" s="761"/>
      <c r="AJ31" s="761"/>
      <c r="AK31" s="761"/>
      <c r="AL31" s="761"/>
      <c r="AM31" s="761"/>
      <c r="AN31" s="761"/>
      <c r="AO31" s="761"/>
      <c r="AP31" s="761"/>
    </row>
    <row r="32" spans="1:42" s="80" customFormat="1">
      <c r="A32" s="753" t="s">
        <v>18</v>
      </c>
      <c r="B32" s="774"/>
      <c r="C32" s="774" t="s">
        <v>1448</v>
      </c>
      <c r="D32" s="774"/>
      <c r="E32" s="774"/>
      <c r="F32" s="774"/>
      <c r="G32" s="774"/>
      <c r="H32" s="774"/>
      <c r="I32" s="774"/>
      <c r="J32" s="774"/>
      <c r="K32" s="774"/>
      <c r="L32" s="775" t="s">
        <v>124</v>
      </c>
      <c r="M32" s="776" t="s">
        <v>303</v>
      </c>
      <c r="N32" s="760"/>
      <c r="O32" s="777"/>
      <c r="P32" s="777"/>
      <c r="Q32" s="777"/>
      <c r="R32" s="778"/>
      <c r="S32" s="777"/>
      <c r="T32" s="777"/>
      <c r="U32" s="777"/>
      <c r="V32" s="334">
        <v>0</v>
      </c>
      <c r="W32" s="329">
        <v>0</v>
      </c>
      <c r="X32" s="778"/>
      <c r="Y32" s="777"/>
      <c r="Z32" s="777"/>
      <c r="AA32" s="777"/>
      <c r="AB32" s="777"/>
      <c r="AC32" s="777"/>
      <c r="AD32" s="777"/>
      <c r="AE32" s="777"/>
      <c r="AF32" s="777"/>
      <c r="AG32" s="777"/>
      <c r="AH32" s="777"/>
      <c r="AI32" s="777"/>
      <c r="AJ32" s="777"/>
      <c r="AK32" s="777"/>
      <c r="AL32" s="777"/>
      <c r="AM32" s="777"/>
      <c r="AN32" s="777"/>
      <c r="AO32" s="777"/>
      <c r="AP32" s="777"/>
    </row>
    <row r="33" spans="1:42" s="80" customFormat="1">
      <c r="A33" s="753" t="s">
        <v>18</v>
      </c>
      <c r="B33" s="774"/>
      <c r="C33" s="774" t="s">
        <v>1450</v>
      </c>
      <c r="D33" s="774"/>
      <c r="E33" s="774"/>
      <c r="F33" s="774"/>
      <c r="G33" s="774"/>
      <c r="H33" s="774"/>
      <c r="I33" s="774"/>
      <c r="J33" s="774"/>
      <c r="K33" s="774"/>
      <c r="L33" s="775" t="s">
        <v>125</v>
      </c>
      <c r="M33" s="759" t="s">
        <v>304</v>
      </c>
      <c r="N33" s="760"/>
      <c r="O33" s="777"/>
      <c r="P33" s="777"/>
      <c r="Q33" s="777"/>
      <c r="R33" s="778"/>
      <c r="S33" s="777"/>
      <c r="T33" s="777"/>
      <c r="U33" s="777"/>
      <c r="V33" s="334">
        <v>0</v>
      </c>
      <c r="W33" s="329">
        <v>0</v>
      </c>
      <c r="X33" s="778"/>
      <c r="Y33" s="777"/>
      <c r="Z33" s="777"/>
      <c r="AA33" s="777"/>
      <c r="AB33" s="777"/>
      <c r="AC33" s="777"/>
      <c r="AD33" s="777"/>
      <c r="AE33" s="777"/>
      <c r="AF33" s="777"/>
      <c r="AG33" s="777"/>
      <c r="AH33" s="777"/>
      <c r="AI33" s="777"/>
      <c r="AJ33" s="777"/>
      <c r="AK33" s="777"/>
      <c r="AL33" s="777"/>
      <c r="AM33" s="777"/>
      <c r="AN33" s="777"/>
      <c r="AO33" s="777"/>
      <c r="AP33" s="777"/>
    </row>
    <row r="34" spans="1:42" s="88" customFormat="1">
      <c r="A34" s="707" t="s">
        <v>102</v>
      </c>
      <c r="B34" s="751"/>
      <c r="C34" s="751"/>
      <c r="D34" s="751"/>
      <c r="E34" s="751"/>
      <c r="F34" s="751"/>
      <c r="G34" s="751"/>
      <c r="H34" s="751"/>
      <c r="I34" s="751"/>
      <c r="J34" s="751"/>
      <c r="K34" s="751"/>
      <c r="L34" s="687" t="s">
        <v>3009</v>
      </c>
      <c r="M34" s="708"/>
      <c r="N34" s="688"/>
      <c r="O34" s="688"/>
      <c r="P34" s="688"/>
      <c r="Q34" s="688"/>
      <c r="R34" s="688"/>
      <c r="S34" s="688"/>
      <c r="T34" s="688"/>
      <c r="U34" s="688"/>
      <c r="V34" s="688"/>
      <c r="W34" s="688"/>
      <c r="X34" s="688"/>
      <c r="Y34" s="688"/>
      <c r="Z34" s="688"/>
      <c r="AA34" s="688"/>
      <c r="AB34" s="688"/>
      <c r="AC34" s="688"/>
      <c r="AD34" s="688"/>
      <c r="AE34" s="688"/>
      <c r="AF34" s="688"/>
      <c r="AG34" s="688"/>
      <c r="AH34" s="688"/>
      <c r="AI34" s="688"/>
      <c r="AJ34" s="688"/>
      <c r="AK34" s="688"/>
      <c r="AL34" s="688"/>
      <c r="AM34" s="752"/>
      <c r="AN34" s="752"/>
      <c r="AO34" s="752"/>
      <c r="AP34" s="752"/>
    </row>
    <row r="35" spans="1:42">
      <c r="A35" s="753" t="s">
        <v>102</v>
      </c>
      <c r="B35" s="731" t="s">
        <v>1199</v>
      </c>
      <c r="C35" s="731"/>
      <c r="D35" s="731"/>
      <c r="E35" s="731"/>
      <c r="F35" s="731"/>
      <c r="G35" s="731"/>
      <c r="H35" s="731"/>
      <c r="I35" s="731"/>
      <c r="J35" s="731"/>
      <c r="K35" s="731"/>
      <c r="L35" s="754"/>
      <c r="M35" s="755" t="s">
        <v>145</v>
      </c>
      <c r="N35" s="756"/>
      <c r="O35" s="756"/>
      <c r="P35" s="756"/>
      <c r="Q35" s="756"/>
      <c r="R35" s="756"/>
      <c r="S35" s="757">
        <v>1.0494000000000001</v>
      </c>
      <c r="T35" s="757">
        <v>1.06128</v>
      </c>
      <c r="U35" s="757">
        <v>1.06128</v>
      </c>
      <c r="V35" s="756"/>
      <c r="W35" s="756"/>
      <c r="X35" s="756"/>
      <c r="Y35" s="757">
        <v>1</v>
      </c>
      <c r="Z35" s="757">
        <v>1</v>
      </c>
      <c r="AA35" s="757">
        <v>1</v>
      </c>
      <c r="AB35" s="757">
        <v>1</v>
      </c>
      <c r="AC35" s="757">
        <v>1</v>
      </c>
      <c r="AD35" s="757">
        <v>1</v>
      </c>
      <c r="AE35" s="757">
        <v>1</v>
      </c>
      <c r="AF35" s="757">
        <v>1</v>
      </c>
      <c r="AG35" s="757">
        <v>1</v>
      </c>
      <c r="AH35" s="757">
        <v>1</v>
      </c>
      <c r="AI35" s="757">
        <v>1</v>
      </c>
      <c r="AJ35" s="757">
        <v>1</v>
      </c>
      <c r="AK35" s="757">
        <v>1</v>
      </c>
      <c r="AL35" s="757">
        <v>1</v>
      </c>
      <c r="AM35" s="757">
        <v>1</v>
      </c>
      <c r="AN35" s="757">
        <v>1</v>
      </c>
      <c r="AO35" s="757">
        <v>1</v>
      </c>
      <c r="AP35" s="757">
        <v>1</v>
      </c>
    </row>
    <row r="36" spans="1:42" ht="22.8">
      <c r="A36" s="753" t="s">
        <v>102</v>
      </c>
      <c r="B36" s="731" t="s">
        <v>1196</v>
      </c>
      <c r="C36" s="731" t="s">
        <v>1407</v>
      </c>
      <c r="D36" s="731"/>
      <c r="E36" s="731"/>
      <c r="F36" s="731"/>
      <c r="G36" s="731"/>
      <c r="H36" s="731"/>
      <c r="I36" s="731"/>
      <c r="J36" s="731"/>
      <c r="K36" s="731"/>
      <c r="L36" s="758">
        <v>1</v>
      </c>
      <c r="M36" s="759" t="s">
        <v>289</v>
      </c>
      <c r="N36" s="760" t="s">
        <v>137</v>
      </c>
      <c r="O36" s="761">
        <v>1</v>
      </c>
      <c r="P36" s="761">
        <v>1</v>
      </c>
      <c r="Q36" s="761">
        <v>1</v>
      </c>
      <c r="R36" s="762"/>
      <c r="S36" s="761">
        <v>1</v>
      </c>
      <c r="T36" s="761">
        <v>1</v>
      </c>
      <c r="U36" s="761">
        <v>1</v>
      </c>
      <c r="V36" s="334">
        <v>1</v>
      </c>
      <c r="W36" s="329">
        <v>0</v>
      </c>
      <c r="X36" s="762"/>
      <c r="Y36" s="761"/>
      <c r="Z36" s="761"/>
      <c r="AA36" s="761"/>
      <c r="AB36" s="761"/>
      <c r="AC36" s="761"/>
      <c r="AD36" s="761"/>
      <c r="AE36" s="761"/>
      <c r="AF36" s="761"/>
      <c r="AG36" s="761"/>
      <c r="AH36" s="761"/>
      <c r="AI36" s="761"/>
      <c r="AJ36" s="761"/>
      <c r="AK36" s="761"/>
      <c r="AL36" s="761"/>
      <c r="AM36" s="761"/>
      <c r="AN36" s="761"/>
      <c r="AO36" s="761"/>
      <c r="AP36" s="761"/>
    </row>
    <row r="37" spans="1:42">
      <c r="A37" s="753" t="s">
        <v>102</v>
      </c>
      <c r="B37" s="731" t="s">
        <v>1197</v>
      </c>
      <c r="C37" s="731" t="s">
        <v>1408</v>
      </c>
      <c r="D37" s="731"/>
      <c r="E37" s="731"/>
      <c r="F37" s="731"/>
      <c r="G37" s="731"/>
      <c r="H37" s="731"/>
      <c r="I37" s="731"/>
      <c r="J37" s="731"/>
      <c r="K37" s="731"/>
      <c r="L37" s="758">
        <v>2</v>
      </c>
      <c r="M37" s="763" t="s">
        <v>146</v>
      </c>
      <c r="N37" s="760" t="s">
        <v>137</v>
      </c>
      <c r="O37" s="761">
        <v>4.3</v>
      </c>
      <c r="P37" s="761">
        <v>13.8</v>
      </c>
      <c r="Q37" s="761">
        <v>13.8</v>
      </c>
      <c r="R37" s="762"/>
      <c r="S37" s="761">
        <v>6</v>
      </c>
      <c r="T37" s="761">
        <v>7.2</v>
      </c>
      <c r="U37" s="761">
        <v>7.2</v>
      </c>
      <c r="V37" s="334">
        <v>1.2</v>
      </c>
      <c r="W37" s="329">
        <v>0</v>
      </c>
      <c r="X37" s="762"/>
      <c r="Y37" s="761"/>
      <c r="Z37" s="761"/>
      <c r="AA37" s="761"/>
      <c r="AB37" s="761"/>
      <c r="AC37" s="761"/>
      <c r="AD37" s="761"/>
      <c r="AE37" s="761"/>
      <c r="AF37" s="761"/>
      <c r="AG37" s="761"/>
      <c r="AH37" s="761"/>
      <c r="AI37" s="761"/>
      <c r="AJ37" s="761"/>
      <c r="AK37" s="761"/>
      <c r="AL37" s="761"/>
      <c r="AM37" s="761"/>
      <c r="AN37" s="761"/>
      <c r="AO37" s="761"/>
      <c r="AP37" s="761"/>
    </row>
    <row r="38" spans="1:42">
      <c r="A38" s="753" t="s">
        <v>102</v>
      </c>
      <c r="B38" s="731"/>
      <c r="C38" s="731" t="s">
        <v>1519</v>
      </c>
      <c r="D38" s="731"/>
      <c r="E38" s="731"/>
      <c r="F38" s="731"/>
      <c r="G38" s="731"/>
      <c r="H38" s="731"/>
      <c r="I38" s="731"/>
      <c r="J38" s="731"/>
      <c r="K38" s="731"/>
      <c r="L38" s="758">
        <v>3</v>
      </c>
      <c r="M38" s="759" t="s">
        <v>290</v>
      </c>
      <c r="N38" s="760" t="s">
        <v>137</v>
      </c>
      <c r="O38" s="761">
        <v>8.6999999999999993</v>
      </c>
      <c r="P38" s="761">
        <v>5.0999999999999996</v>
      </c>
      <c r="Q38" s="761">
        <v>5.0999999999999996</v>
      </c>
      <c r="R38" s="762"/>
      <c r="S38" s="761">
        <v>4.5</v>
      </c>
      <c r="T38" s="761">
        <v>5</v>
      </c>
      <c r="U38" s="761">
        <v>5</v>
      </c>
      <c r="V38" s="334">
        <v>1.1111111111111112</v>
      </c>
      <c r="W38" s="329">
        <v>0</v>
      </c>
      <c r="X38" s="762"/>
      <c r="Y38" s="761"/>
      <c r="Z38" s="761"/>
      <c r="AA38" s="761"/>
      <c r="AB38" s="761"/>
      <c r="AC38" s="761"/>
      <c r="AD38" s="761"/>
      <c r="AE38" s="761"/>
      <c r="AF38" s="761"/>
      <c r="AG38" s="761"/>
      <c r="AH38" s="761"/>
      <c r="AI38" s="761"/>
      <c r="AJ38" s="761"/>
      <c r="AK38" s="761"/>
      <c r="AL38" s="761"/>
      <c r="AM38" s="761"/>
      <c r="AN38" s="761"/>
      <c r="AO38" s="761"/>
      <c r="AP38" s="761"/>
    </row>
    <row r="39" spans="1:42">
      <c r="A39" s="753" t="s">
        <v>102</v>
      </c>
      <c r="B39" s="731" t="s">
        <v>1198</v>
      </c>
      <c r="C39" s="731" t="s">
        <v>1527</v>
      </c>
      <c r="D39" s="731"/>
      <c r="E39" s="731"/>
      <c r="F39" s="731"/>
      <c r="G39" s="731"/>
      <c r="H39" s="731"/>
      <c r="I39" s="731"/>
      <c r="J39" s="731"/>
      <c r="K39" s="731"/>
      <c r="L39" s="758">
        <v>4</v>
      </c>
      <c r="M39" s="763" t="s">
        <v>291</v>
      </c>
      <c r="N39" s="760" t="s">
        <v>137</v>
      </c>
      <c r="O39" s="761"/>
      <c r="P39" s="764"/>
      <c r="Q39" s="765"/>
      <c r="R39" s="762"/>
      <c r="S39" s="761"/>
      <c r="T39" s="764"/>
      <c r="U39" s="764"/>
      <c r="V39" s="334">
        <v>0</v>
      </c>
      <c r="W39" s="329">
        <v>0</v>
      </c>
      <c r="X39" s="762"/>
      <c r="Y39" s="761"/>
      <c r="Z39" s="761"/>
      <c r="AA39" s="761"/>
      <c r="AB39" s="761"/>
      <c r="AC39" s="761"/>
      <c r="AD39" s="761"/>
      <c r="AE39" s="761"/>
      <c r="AF39" s="761"/>
      <c r="AG39" s="761"/>
      <c r="AH39" s="761"/>
      <c r="AI39" s="761"/>
      <c r="AJ39" s="761"/>
      <c r="AK39" s="761"/>
      <c r="AL39" s="761"/>
      <c r="AM39" s="761"/>
      <c r="AN39" s="761"/>
      <c r="AO39" s="761"/>
      <c r="AP39" s="761"/>
    </row>
    <row r="40" spans="1:42">
      <c r="A40" s="753" t="s">
        <v>102</v>
      </c>
      <c r="B40" s="731"/>
      <c r="C40" s="731"/>
      <c r="D40" s="731"/>
      <c r="E40" s="731"/>
      <c r="F40" s="731"/>
      <c r="G40" s="731"/>
      <c r="H40" s="731"/>
      <c r="I40" s="731"/>
      <c r="J40" s="731"/>
      <c r="K40" s="731"/>
      <c r="L40" s="754"/>
      <c r="M40" s="755" t="s">
        <v>292</v>
      </c>
      <c r="N40" s="756"/>
      <c r="O40" s="766"/>
      <c r="P40" s="766"/>
      <c r="Q40" s="766"/>
      <c r="R40" s="767"/>
      <c r="S40" s="766"/>
      <c r="T40" s="766"/>
      <c r="U40" s="766"/>
      <c r="V40" s="768"/>
      <c r="W40" s="766"/>
      <c r="X40" s="767"/>
      <c r="Y40" s="766"/>
      <c r="Z40" s="766"/>
      <c r="AA40" s="766"/>
      <c r="AB40" s="766"/>
      <c r="AC40" s="766"/>
      <c r="AD40" s="766"/>
      <c r="AE40" s="766"/>
      <c r="AF40" s="766"/>
      <c r="AG40" s="766"/>
      <c r="AH40" s="766"/>
      <c r="AI40" s="766"/>
      <c r="AJ40" s="766"/>
      <c r="AK40" s="766"/>
      <c r="AL40" s="766"/>
      <c r="AM40" s="766"/>
      <c r="AN40" s="766"/>
      <c r="AO40" s="766"/>
      <c r="AP40" s="769"/>
    </row>
    <row r="41" spans="1:42">
      <c r="A41" s="753" t="s">
        <v>102</v>
      </c>
      <c r="B41" s="731" t="s">
        <v>1201</v>
      </c>
      <c r="C41" s="731" t="s">
        <v>1439</v>
      </c>
      <c r="D41" s="731"/>
      <c r="E41" s="731"/>
      <c r="F41" s="731"/>
      <c r="G41" s="731"/>
      <c r="H41" s="731"/>
      <c r="I41" s="731"/>
      <c r="J41" s="731"/>
      <c r="K41" s="731"/>
      <c r="L41" s="758">
        <v>1</v>
      </c>
      <c r="M41" s="763" t="s">
        <v>293</v>
      </c>
      <c r="N41" s="760" t="s">
        <v>137</v>
      </c>
      <c r="O41" s="764"/>
      <c r="P41" s="761"/>
      <c r="Q41" s="761"/>
      <c r="R41" s="762"/>
      <c r="S41" s="764"/>
      <c r="T41" s="761"/>
      <c r="U41" s="761"/>
      <c r="V41" s="334">
        <v>0</v>
      </c>
      <c r="W41" s="329">
        <v>0</v>
      </c>
      <c r="X41" s="762"/>
      <c r="Y41" s="764"/>
      <c r="Z41" s="764"/>
      <c r="AA41" s="764"/>
      <c r="AB41" s="764"/>
      <c r="AC41" s="764"/>
      <c r="AD41" s="764"/>
      <c r="AE41" s="764"/>
      <c r="AF41" s="764"/>
      <c r="AG41" s="764"/>
      <c r="AH41" s="764"/>
      <c r="AI41" s="764"/>
      <c r="AJ41" s="764"/>
      <c r="AK41" s="764"/>
      <c r="AL41" s="764"/>
      <c r="AM41" s="764"/>
      <c r="AN41" s="764"/>
      <c r="AO41" s="764"/>
      <c r="AP41" s="764"/>
    </row>
    <row r="42" spans="1:42">
      <c r="A42" s="753" t="s">
        <v>102</v>
      </c>
      <c r="B42" s="731"/>
      <c r="C42" s="731" t="s">
        <v>1576</v>
      </c>
      <c r="D42" s="731"/>
      <c r="E42" s="731"/>
      <c r="F42" s="731"/>
      <c r="G42" s="731"/>
      <c r="H42" s="731"/>
      <c r="I42" s="731"/>
      <c r="J42" s="731"/>
      <c r="K42" s="731"/>
      <c r="L42" s="758">
        <v>2</v>
      </c>
      <c r="M42" s="763" t="s">
        <v>294</v>
      </c>
      <c r="N42" s="760" t="s">
        <v>137</v>
      </c>
      <c r="O42" s="764">
        <v>20</v>
      </c>
      <c r="P42" s="761">
        <v>20</v>
      </c>
      <c r="Q42" s="764">
        <v>20</v>
      </c>
      <c r="R42" s="762"/>
      <c r="S42" s="764">
        <v>20</v>
      </c>
      <c r="T42" s="764">
        <v>20</v>
      </c>
      <c r="U42" s="764">
        <v>20</v>
      </c>
      <c r="V42" s="334">
        <v>1</v>
      </c>
      <c r="W42" s="329">
        <v>0</v>
      </c>
      <c r="X42" s="762"/>
      <c r="Y42" s="764"/>
      <c r="Z42" s="764"/>
      <c r="AA42" s="764"/>
      <c r="AB42" s="764"/>
      <c r="AC42" s="764"/>
      <c r="AD42" s="764"/>
      <c r="AE42" s="764"/>
      <c r="AF42" s="764"/>
      <c r="AG42" s="764"/>
      <c r="AH42" s="764"/>
      <c r="AI42" s="764"/>
      <c r="AJ42" s="764"/>
      <c r="AK42" s="764"/>
      <c r="AL42" s="764"/>
      <c r="AM42" s="764"/>
      <c r="AN42" s="764"/>
      <c r="AO42" s="764"/>
      <c r="AP42" s="764"/>
    </row>
    <row r="43" spans="1:42">
      <c r="A43" s="753" t="s">
        <v>102</v>
      </c>
      <c r="B43" s="731"/>
      <c r="C43" s="731"/>
      <c r="D43" s="731"/>
      <c r="E43" s="731"/>
      <c r="F43" s="731"/>
      <c r="G43" s="731"/>
      <c r="H43" s="731"/>
      <c r="I43" s="731"/>
      <c r="J43" s="731"/>
      <c r="K43" s="731"/>
      <c r="L43" s="160">
        <v>3</v>
      </c>
      <c r="M43" s="161" t="s">
        <v>295</v>
      </c>
      <c r="N43" s="770"/>
      <c r="O43" s="326"/>
      <c r="P43" s="329"/>
      <c r="Q43" s="331"/>
      <c r="R43" s="317"/>
      <c r="S43" s="326"/>
      <c r="T43" s="329"/>
      <c r="U43" s="329"/>
      <c r="V43" s="334"/>
      <c r="W43" s="329"/>
      <c r="X43" s="317"/>
      <c r="Y43" s="326"/>
      <c r="Z43" s="326"/>
      <c r="AA43" s="326"/>
      <c r="AB43" s="326"/>
      <c r="AC43" s="326"/>
      <c r="AD43" s="326"/>
      <c r="AE43" s="326"/>
      <c r="AF43" s="326"/>
      <c r="AG43" s="326"/>
      <c r="AH43" s="326"/>
      <c r="AI43" s="326"/>
      <c r="AJ43" s="326"/>
      <c r="AK43" s="326"/>
      <c r="AL43" s="326"/>
      <c r="AM43" s="326"/>
      <c r="AN43" s="326"/>
      <c r="AO43" s="326"/>
      <c r="AP43" s="326"/>
    </row>
    <row r="44" spans="1:42" ht="22.8">
      <c r="A44" s="753" t="s">
        <v>102</v>
      </c>
      <c r="B44" s="731"/>
      <c r="C44" s="731" t="s">
        <v>1663</v>
      </c>
      <c r="D44" s="731"/>
      <c r="E44" s="731"/>
      <c r="F44" s="731"/>
      <c r="G44" s="731"/>
      <c r="H44" s="731"/>
      <c r="I44" s="731"/>
      <c r="J44" s="731"/>
      <c r="K44" s="731"/>
      <c r="L44" s="771" t="s">
        <v>1018</v>
      </c>
      <c r="M44" s="772" t="s">
        <v>296</v>
      </c>
      <c r="N44" s="770" t="s">
        <v>297</v>
      </c>
      <c r="O44" s="761"/>
      <c r="P44" s="764"/>
      <c r="Q44" s="765"/>
      <c r="R44" s="762"/>
      <c r="S44" s="761"/>
      <c r="T44" s="764"/>
      <c r="U44" s="764"/>
      <c r="V44" s="334">
        <v>0</v>
      </c>
      <c r="W44" s="329">
        <v>0</v>
      </c>
      <c r="X44" s="762"/>
      <c r="Y44" s="761"/>
      <c r="Z44" s="761"/>
      <c r="AA44" s="761"/>
      <c r="AB44" s="761"/>
      <c r="AC44" s="761"/>
      <c r="AD44" s="761"/>
      <c r="AE44" s="761"/>
      <c r="AF44" s="761"/>
      <c r="AG44" s="761"/>
      <c r="AH44" s="761"/>
      <c r="AI44" s="761"/>
      <c r="AJ44" s="761"/>
      <c r="AK44" s="761"/>
      <c r="AL44" s="761"/>
      <c r="AM44" s="761"/>
      <c r="AN44" s="761"/>
      <c r="AO44" s="761"/>
      <c r="AP44" s="761"/>
    </row>
    <row r="45" spans="1:42" ht="22.8">
      <c r="A45" s="753" t="s">
        <v>102</v>
      </c>
      <c r="B45" s="731"/>
      <c r="C45" s="731" t="s">
        <v>1664</v>
      </c>
      <c r="D45" s="731"/>
      <c r="E45" s="731"/>
      <c r="F45" s="731"/>
      <c r="G45" s="731"/>
      <c r="H45" s="731"/>
      <c r="I45" s="731"/>
      <c r="J45" s="731"/>
      <c r="K45" s="731"/>
      <c r="L45" s="771" t="s">
        <v>1019</v>
      </c>
      <c r="M45" s="772" t="s">
        <v>298</v>
      </c>
      <c r="N45" s="770" t="s">
        <v>297</v>
      </c>
      <c r="O45" s="761"/>
      <c r="P45" s="764"/>
      <c r="Q45" s="765"/>
      <c r="R45" s="762"/>
      <c r="S45" s="761"/>
      <c r="T45" s="764"/>
      <c r="U45" s="764"/>
      <c r="V45" s="334">
        <v>0</v>
      </c>
      <c r="W45" s="329">
        <v>0</v>
      </c>
      <c r="X45" s="762"/>
      <c r="Y45" s="761"/>
      <c r="Z45" s="761"/>
      <c r="AA45" s="761"/>
      <c r="AB45" s="761"/>
      <c r="AC45" s="761"/>
      <c r="AD45" s="761"/>
      <c r="AE45" s="761"/>
      <c r="AF45" s="761"/>
      <c r="AG45" s="761"/>
      <c r="AH45" s="761"/>
      <c r="AI45" s="761"/>
      <c r="AJ45" s="761"/>
      <c r="AK45" s="761"/>
      <c r="AL45" s="761"/>
      <c r="AM45" s="761"/>
      <c r="AN45" s="761"/>
      <c r="AO45" s="761"/>
      <c r="AP45" s="761"/>
    </row>
    <row r="46" spans="1:42" ht="22.8">
      <c r="A46" s="753" t="s">
        <v>102</v>
      </c>
      <c r="B46" s="731"/>
      <c r="C46" s="731" t="s">
        <v>1665</v>
      </c>
      <c r="D46" s="731"/>
      <c r="E46" s="731"/>
      <c r="F46" s="731"/>
      <c r="G46" s="731"/>
      <c r="H46" s="731"/>
      <c r="I46" s="731"/>
      <c r="J46" s="731"/>
      <c r="K46" s="731"/>
      <c r="L46" s="771" t="s">
        <v>1020</v>
      </c>
      <c r="M46" s="772" t="s">
        <v>299</v>
      </c>
      <c r="N46" s="770" t="s">
        <v>297</v>
      </c>
      <c r="O46" s="761"/>
      <c r="P46" s="764"/>
      <c r="Q46" s="765"/>
      <c r="R46" s="762"/>
      <c r="S46" s="761"/>
      <c r="T46" s="764"/>
      <c r="U46" s="764"/>
      <c r="V46" s="334">
        <v>0</v>
      </c>
      <c r="W46" s="329">
        <v>0</v>
      </c>
      <c r="X46" s="762"/>
      <c r="Y46" s="761"/>
      <c r="Z46" s="761"/>
      <c r="AA46" s="761"/>
      <c r="AB46" s="761"/>
      <c r="AC46" s="761"/>
      <c r="AD46" s="761"/>
      <c r="AE46" s="761"/>
      <c r="AF46" s="761"/>
      <c r="AG46" s="761"/>
      <c r="AH46" s="761"/>
      <c r="AI46" s="761"/>
      <c r="AJ46" s="761"/>
      <c r="AK46" s="761"/>
      <c r="AL46" s="761"/>
      <c r="AM46" s="761"/>
      <c r="AN46" s="761"/>
      <c r="AO46" s="761"/>
      <c r="AP46" s="761"/>
    </row>
    <row r="47" spans="1:42" ht="22.8">
      <c r="A47" s="753" t="s">
        <v>102</v>
      </c>
      <c r="B47" s="731"/>
      <c r="C47" s="731" t="s">
        <v>1666</v>
      </c>
      <c r="D47" s="731"/>
      <c r="E47" s="731"/>
      <c r="F47" s="731"/>
      <c r="G47" s="731"/>
      <c r="H47" s="731"/>
      <c r="I47" s="731"/>
      <c r="J47" s="731"/>
      <c r="K47" s="731"/>
      <c r="L47" s="771" t="s">
        <v>1021</v>
      </c>
      <c r="M47" s="772" t="s">
        <v>300</v>
      </c>
      <c r="N47" s="770" t="s">
        <v>297</v>
      </c>
      <c r="O47" s="761"/>
      <c r="P47" s="764"/>
      <c r="Q47" s="765"/>
      <c r="R47" s="762"/>
      <c r="S47" s="761"/>
      <c r="T47" s="764"/>
      <c r="U47" s="764"/>
      <c r="V47" s="334">
        <v>0</v>
      </c>
      <c r="W47" s="329">
        <v>0</v>
      </c>
      <c r="X47" s="762"/>
      <c r="Y47" s="761"/>
      <c r="Z47" s="761"/>
      <c r="AA47" s="761"/>
      <c r="AB47" s="761"/>
      <c r="AC47" s="761"/>
      <c r="AD47" s="761"/>
      <c r="AE47" s="761"/>
      <c r="AF47" s="761"/>
      <c r="AG47" s="761"/>
      <c r="AH47" s="761"/>
      <c r="AI47" s="761"/>
      <c r="AJ47" s="761"/>
      <c r="AK47" s="761"/>
      <c r="AL47" s="761"/>
      <c r="AM47" s="761"/>
      <c r="AN47" s="761"/>
      <c r="AO47" s="761"/>
      <c r="AP47" s="761"/>
    </row>
    <row r="48" spans="1:42">
      <c r="A48" s="753" t="s">
        <v>102</v>
      </c>
      <c r="B48" s="731"/>
      <c r="C48" s="731" t="s">
        <v>1444</v>
      </c>
      <c r="D48" s="731"/>
      <c r="E48" s="731"/>
      <c r="F48" s="731"/>
      <c r="G48" s="731"/>
      <c r="H48" s="731"/>
      <c r="I48" s="731"/>
      <c r="J48" s="731"/>
      <c r="K48" s="731"/>
      <c r="L48" s="758">
        <v>4</v>
      </c>
      <c r="M48" s="773" t="s">
        <v>301</v>
      </c>
      <c r="N48" s="760" t="s">
        <v>137</v>
      </c>
      <c r="O48" s="761"/>
      <c r="P48" s="764"/>
      <c r="Q48" s="765"/>
      <c r="R48" s="762"/>
      <c r="S48" s="761"/>
      <c r="T48" s="764"/>
      <c r="U48" s="764"/>
      <c r="V48" s="334">
        <v>0</v>
      </c>
      <c r="W48" s="329">
        <v>0</v>
      </c>
      <c r="X48" s="762"/>
      <c r="Y48" s="761"/>
      <c r="Z48" s="761"/>
      <c r="AA48" s="761"/>
      <c r="AB48" s="761"/>
      <c r="AC48" s="761"/>
      <c r="AD48" s="761"/>
      <c r="AE48" s="761"/>
      <c r="AF48" s="761"/>
      <c r="AG48" s="761"/>
      <c r="AH48" s="761"/>
      <c r="AI48" s="761"/>
      <c r="AJ48" s="761"/>
      <c r="AK48" s="761"/>
      <c r="AL48" s="761"/>
      <c r="AM48" s="761"/>
      <c r="AN48" s="761"/>
      <c r="AO48" s="761"/>
      <c r="AP48" s="761"/>
    </row>
    <row r="49" spans="1:42">
      <c r="A49" s="753" t="s">
        <v>102</v>
      </c>
      <c r="B49" s="731"/>
      <c r="C49" s="731" t="s">
        <v>1446</v>
      </c>
      <c r="D49" s="731"/>
      <c r="E49" s="731"/>
      <c r="F49" s="731"/>
      <c r="G49" s="731"/>
      <c r="H49" s="731"/>
      <c r="I49" s="731"/>
      <c r="J49" s="731"/>
      <c r="K49" s="731"/>
      <c r="L49" s="758">
        <v>5</v>
      </c>
      <c r="M49" s="773" t="s">
        <v>302</v>
      </c>
      <c r="N49" s="760" t="s">
        <v>137</v>
      </c>
      <c r="O49" s="761"/>
      <c r="P49" s="764"/>
      <c r="Q49" s="765"/>
      <c r="R49" s="762"/>
      <c r="S49" s="761"/>
      <c r="T49" s="764"/>
      <c r="U49" s="764"/>
      <c r="V49" s="334">
        <v>0</v>
      </c>
      <c r="W49" s="329">
        <v>0</v>
      </c>
      <c r="X49" s="762"/>
      <c r="Y49" s="761"/>
      <c r="Z49" s="761"/>
      <c r="AA49" s="761"/>
      <c r="AB49" s="761"/>
      <c r="AC49" s="761"/>
      <c r="AD49" s="761"/>
      <c r="AE49" s="761"/>
      <c r="AF49" s="761"/>
      <c r="AG49" s="761"/>
      <c r="AH49" s="761"/>
      <c r="AI49" s="761"/>
      <c r="AJ49" s="761"/>
      <c r="AK49" s="761"/>
      <c r="AL49" s="761"/>
      <c r="AM49" s="761"/>
      <c r="AN49" s="761"/>
      <c r="AO49" s="761"/>
      <c r="AP49" s="761"/>
    </row>
    <row r="50" spans="1:42" s="80" customFormat="1">
      <c r="A50" s="753" t="s">
        <v>102</v>
      </c>
      <c r="B50" s="774"/>
      <c r="C50" s="774" t="s">
        <v>1448</v>
      </c>
      <c r="D50" s="774"/>
      <c r="E50" s="774"/>
      <c r="F50" s="774"/>
      <c r="G50" s="774"/>
      <c r="H50" s="774"/>
      <c r="I50" s="774"/>
      <c r="J50" s="774"/>
      <c r="K50" s="774"/>
      <c r="L50" s="775" t="s">
        <v>124</v>
      </c>
      <c r="M50" s="776" t="s">
        <v>303</v>
      </c>
      <c r="N50" s="760"/>
      <c r="O50" s="777"/>
      <c r="P50" s="777"/>
      <c r="Q50" s="777"/>
      <c r="R50" s="778"/>
      <c r="S50" s="777"/>
      <c r="T50" s="777"/>
      <c r="U50" s="777"/>
      <c r="V50" s="334">
        <v>0</v>
      </c>
      <c r="W50" s="329">
        <v>0</v>
      </c>
      <c r="X50" s="778"/>
      <c r="Y50" s="777"/>
      <c r="Z50" s="777"/>
      <c r="AA50" s="777"/>
      <c r="AB50" s="777"/>
      <c r="AC50" s="777"/>
      <c r="AD50" s="777"/>
      <c r="AE50" s="777"/>
      <c r="AF50" s="777"/>
      <c r="AG50" s="777"/>
      <c r="AH50" s="777"/>
      <c r="AI50" s="777"/>
      <c r="AJ50" s="777"/>
      <c r="AK50" s="777"/>
      <c r="AL50" s="777"/>
      <c r="AM50" s="777"/>
      <c r="AN50" s="777"/>
      <c r="AO50" s="777"/>
      <c r="AP50" s="777"/>
    </row>
    <row r="51" spans="1:42" s="80" customFormat="1">
      <c r="A51" s="753" t="s">
        <v>102</v>
      </c>
      <c r="B51" s="774"/>
      <c r="C51" s="774" t="s">
        <v>1450</v>
      </c>
      <c r="D51" s="774"/>
      <c r="E51" s="774"/>
      <c r="F51" s="774"/>
      <c r="G51" s="774"/>
      <c r="H51" s="774"/>
      <c r="I51" s="774"/>
      <c r="J51" s="774"/>
      <c r="K51" s="774"/>
      <c r="L51" s="775" t="s">
        <v>125</v>
      </c>
      <c r="M51" s="759" t="s">
        <v>304</v>
      </c>
      <c r="N51" s="760"/>
      <c r="O51" s="777"/>
      <c r="P51" s="777"/>
      <c r="Q51" s="777"/>
      <c r="R51" s="778"/>
      <c r="S51" s="777"/>
      <c r="T51" s="777"/>
      <c r="U51" s="777"/>
      <c r="V51" s="334">
        <v>0</v>
      </c>
      <c r="W51" s="329">
        <v>0</v>
      </c>
      <c r="X51" s="778"/>
      <c r="Y51" s="777"/>
      <c r="Z51" s="777"/>
      <c r="AA51" s="777"/>
      <c r="AB51" s="777"/>
      <c r="AC51" s="777"/>
      <c r="AD51" s="777"/>
      <c r="AE51" s="777"/>
      <c r="AF51" s="777"/>
      <c r="AG51" s="777"/>
      <c r="AH51" s="777"/>
      <c r="AI51" s="777"/>
      <c r="AJ51" s="777"/>
      <c r="AK51" s="777"/>
      <c r="AL51" s="777"/>
      <c r="AM51" s="777"/>
      <c r="AN51" s="777"/>
      <c r="AO51" s="777"/>
      <c r="AP51" s="777"/>
    </row>
    <row r="52" spans="1:42" hidden="1">
      <c r="A52" s="731" t="s">
        <v>1127</v>
      </c>
      <c r="B52" s="731"/>
      <c r="C52" s="731"/>
      <c r="D52" s="731"/>
      <c r="E52" s="731"/>
      <c r="F52" s="731"/>
      <c r="G52" s="731"/>
      <c r="H52" s="731"/>
      <c r="I52" s="731"/>
      <c r="J52" s="731"/>
      <c r="K52" s="731"/>
      <c r="L52" s="779"/>
      <c r="M52" s="780"/>
      <c r="N52" s="780"/>
      <c r="O52" s="780"/>
      <c r="P52" s="780"/>
      <c r="Q52" s="780"/>
      <c r="R52" s="780"/>
      <c r="S52" s="780"/>
      <c r="T52" s="780"/>
      <c r="U52" s="780"/>
      <c r="V52" s="780"/>
      <c r="W52" s="780"/>
      <c r="X52" s="780"/>
      <c r="Y52" s="780"/>
      <c r="Z52" s="780"/>
      <c r="AA52" s="780"/>
      <c r="AB52" s="780"/>
      <c r="AC52" s="780"/>
      <c r="AD52" s="780"/>
      <c r="AE52" s="780"/>
      <c r="AF52" s="780"/>
      <c r="AG52" s="780"/>
      <c r="AH52" s="780"/>
      <c r="AI52" s="780"/>
      <c r="AJ52" s="780"/>
      <c r="AK52" s="780"/>
      <c r="AL52" s="780"/>
      <c r="AM52" s="780"/>
      <c r="AN52" s="780"/>
      <c r="AO52" s="780"/>
      <c r="AP52" s="780"/>
    </row>
    <row r="53" spans="1:42">
      <c r="A53" s="731"/>
      <c r="B53" s="731"/>
      <c r="C53" s="731"/>
      <c r="D53" s="731"/>
      <c r="E53" s="731"/>
      <c r="F53" s="731"/>
      <c r="G53" s="731"/>
      <c r="H53" s="731"/>
      <c r="I53" s="731"/>
      <c r="J53" s="731"/>
      <c r="K53" s="731"/>
      <c r="L53" s="732"/>
      <c r="M53" s="731"/>
      <c r="N53" s="731"/>
      <c r="O53" s="731"/>
      <c r="P53" s="731"/>
      <c r="Q53" s="731"/>
      <c r="R53" s="731"/>
      <c r="S53" s="731"/>
      <c r="T53" s="731"/>
      <c r="U53" s="731"/>
      <c r="V53" s="731"/>
      <c r="W53" s="731"/>
      <c r="X53" s="731"/>
      <c r="Y53" s="731"/>
      <c r="Z53" s="731"/>
      <c r="AA53" s="731"/>
      <c r="AB53" s="731"/>
      <c r="AC53" s="731"/>
      <c r="AD53" s="731"/>
      <c r="AE53" s="731"/>
      <c r="AF53" s="731"/>
      <c r="AG53" s="731"/>
      <c r="AH53" s="731"/>
      <c r="AI53" s="731"/>
      <c r="AJ53" s="731"/>
      <c r="AK53" s="731"/>
      <c r="AL53" s="731"/>
      <c r="AM53" s="731"/>
      <c r="AN53" s="731"/>
      <c r="AO53" s="731"/>
      <c r="AP53" s="731"/>
    </row>
    <row r="54" spans="1:42">
      <c r="A54" s="731"/>
      <c r="B54" s="731"/>
      <c r="C54" s="731"/>
      <c r="D54" s="731"/>
      <c r="E54" s="731"/>
      <c r="F54" s="731"/>
      <c r="G54" s="731"/>
      <c r="H54" s="731"/>
      <c r="I54" s="731"/>
      <c r="J54" s="731"/>
      <c r="K54" s="731"/>
      <c r="L54" s="732"/>
      <c r="M54" s="731"/>
      <c r="N54" s="731"/>
      <c r="O54" s="731"/>
      <c r="P54" s="731"/>
      <c r="Q54" s="731"/>
      <c r="R54" s="731"/>
      <c r="S54" s="731"/>
      <c r="T54" s="731"/>
      <c r="U54" s="731"/>
      <c r="V54" s="731"/>
      <c r="W54" s="731"/>
      <c r="X54" s="731"/>
      <c r="Y54" s="731"/>
      <c r="Z54" s="731"/>
      <c r="AA54" s="731"/>
      <c r="AB54" s="731"/>
      <c r="AC54" s="731"/>
      <c r="AD54" s="731"/>
      <c r="AE54" s="731"/>
      <c r="AF54" s="731"/>
      <c r="AG54" s="731"/>
      <c r="AH54" s="731"/>
      <c r="AI54" s="731"/>
      <c r="AJ54" s="731"/>
      <c r="AK54" s="731"/>
      <c r="AL54" s="731"/>
      <c r="AM54" s="731"/>
      <c r="AN54" s="731"/>
      <c r="AO54" s="731"/>
      <c r="AP54" s="731"/>
    </row>
    <row r="55" spans="1:42">
      <c r="A55" s="731"/>
      <c r="B55" s="731"/>
      <c r="C55" s="731"/>
      <c r="D55" s="731"/>
      <c r="E55" s="731"/>
      <c r="F55" s="731"/>
      <c r="G55" s="731"/>
      <c r="H55" s="731"/>
      <c r="I55" s="731"/>
      <c r="J55" s="731"/>
      <c r="K55" s="731"/>
      <c r="L55" s="732"/>
      <c r="M55" s="731"/>
      <c r="N55" s="731"/>
      <c r="O55" s="731"/>
      <c r="P55" s="731"/>
      <c r="Q55" s="731"/>
      <c r="R55" s="731"/>
      <c r="S55" s="731"/>
      <c r="T55" s="731"/>
      <c r="U55" s="731"/>
      <c r="V55" s="731"/>
      <c r="W55" s="731"/>
      <c r="X55" s="731"/>
      <c r="Y55" s="731"/>
      <c r="Z55" s="731"/>
      <c r="AA55" s="731"/>
      <c r="AB55" s="731"/>
      <c r="AC55" s="731"/>
      <c r="AD55" s="731"/>
      <c r="AE55" s="731"/>
      <c r="AF55" s="731"/>
      <c r="AG55" s="731"/>
      <c r="AH55" s="731"/>
      <c r="AI55" s="731"/>
      <c r="AJ55" s="731"/>
      <c r="AK55" s="731"/>
      <c r="AL55" s="731"/>
      <c r="AM55" s="731"/>
      <c r="AN55" s="731"/>
      <c r="AO55" s="731"/>
      <c r="AP55" s="731"/>
    </row>
    <row r="56" spans="1:42">
      <c r="A56" s="731"/>
      <c r="B56" s="731"/>
      <c r="C56" s="731"/>
      <c r="D56" s="731"/>
      <c r="E56" s="731"/>
      <c r="F56" s="731"/>
      <c r="G56" s="731"/>
      <c r="H56" s="731"/>
      <c r="I56" s="731"/>
      <c r="J56" s="731"/>
      <c r="K56" s="731"/>
      <c r="L56" s="732"/>
      <c r="M56" s="731"/>
      <c r="N56" s="731"/>
      <c r="O56" s="731"/>
      <c r="P56" s="731"/>
      <c r="Q56" s="731"/>
      <c r="R56" s="731"/>
      <c r="S56" s="731"/>
      <c r="T56" s="731"/>
      <c r="U56" s="731"/>
      <c r="V56" s="731"/>
      <c r="W56" s="731"/>
      <c r="X56" s="731"/>
      <c r="Y56" s="731"/>
      <c r="Z56" s="731"/>
      <c r="AA56" s="731"/>
      <c r="AB56" s="731"/>
      <c r="AC56" s="731"/>
      <c r="AD56" s="731"/>
      <c r="AE56" s="731"/>
      <c r="AF56" s="731"/>
      <c r="AG56" s="731"/>
      <c r="AH56" s="731"/>
      <c r="AI56" s="731"/>
      <c r="AJ56" s="731"/>
      <c r="AK56" s="731"/>
      <c r="AL56" s="731"/>
      <c r="AM56" s="731"/>
      <c r="AN56" s="731"/>
      <c r="AO56" s="731"/>
      <c r="AP56" s="731"/>
    </row>
    <row r="57" spans="1:42">
      <c r="A57" s="731"/>
      <c r="B57" s="731"/>
      <c r="C57" s="731"/>
      <c r="D57" s="731"/>
      <c r="E57" s="731"/>
      <c r="F57" s="731"/>
      <c r="G57" s="731"/>
      <c r="H57" s="731"/>
      <c r="I57" s="731"/>
      <c r="J57" s="731"/>
      <c r="K57" s="731"/>
      <c r="L57" s="732"/>
      <c r="M57" s="731"/>
      <c r="N57" s="731"/>
      <c r="O57" s="731"/>
      <c r="P57" s="731"/>
      <c r="Q57" s="731"/>
      <c r="R57" s="731"/>
      <c r="S57" s="731"/>
      <c r="T57" s="731"/>
      <c r="U57" s="731"/>
      <c r="V57" s="731"/>
      <c r="W57" s="731"/>
      <c r="X57" s="731"/>
      <c r="Y57" s="731"/>
      <c r="Z57" s="731"/>
      <c r="AA57" s="731"/>
      <c r="AB57" s="731"/>
      <c r="AC57" s="731"/>
      <c r="AD57" s="731"/>
      <c r="AE57" s="731"/>
      <c r="AF57" s="731"/>
      <c r="AG57" s="731"/>
      <c r="AH57" s="731"/>
      <c r="AI57" s="731"/>
      <c r="AJ57" s="731"/>
      <c r="AK57" s="731"/>
      <c r="AL57" s="731"/>
      <c r="AM57" s="731"/>
      <c r="AN57" s="731"/>
      <c r="AO57" s="731"/>
      <c r="AP57" s="731"/>
    </row>
  </sheetData>
  <sheetProtection formatColumns="0" formatRows="0" autoFilter="0"/>
  <mergeCells count="3">
    <mergeCell ref="L14:L15"/>
    <mergeCell ref="M14:M15"/>
    <mergeCell ref="N14:N15"/>
  </mergeCells>
  <phoneticPr fontId="14" type="noConversion"/>
  <dataValidations count="4">
    <dataValidation type="decimal" operator="greaterThanOrEqual" allowBlank="1" sqref="O52:Q52 S52:U52 Y52:AP52">
      <formula1>0</formula1>
    </dataValidation>
    <dataValidation type="textLength" operator="lessThanOrEqual" allowBlank="1" showInputMessage="1" showErrorMessage="1" sqref="R52 X52">
      <formula1>990</formula1>
    </dataValidation>
    <dataValidation type="textLength" operator="lessThanOrEqual" allowBlank="1" showInputMessage="1" showErrorMessage="1" errorTitle="Ошибка" error="Допускается ввод не более 900 символов!" sqref="X18:X20 X26:X33 R18:R20 R23:R24 X23:X24 R26:R33 X36:X38 R44:R51 X44:X51 R41:R42 X41:X42 R36:R38">
      <formula1>900</formula1>
    </dataValidation>
    <dataValidation type="decimal" allowBlank="1" showErrorMessage="1" errorTitle="Ошибка" error="Допускается ввод только неотрицательных чисел!" sqref="S26:U33 O26:Q33 S18:U20 Y23:AP24 S23:U24 O23:Q24 Y18:AP20 O18:Q20 Y26:AP33 Y44:AP51 S44:U51 O44:Q51 Y41:AP42 S41:U42 O41:Q42 Y36:AP38 O36:Q38 S36:U38">
      <formula1>0</formula1>
      <formula2>9.99999999999999E+23</formula2>
    </dataValidation>
  </dataValidations>
  <pageMargins left="0.35433070866141736" right="0.35433070866141736" top="0.39370078740157483" bottom="0.47244094488188981" header="0.31496062992125984" footer="0.31496062992125984"/>
  <pageSetup paperSize="9" scale="70" fitToWidth="0" fitToHeight="0" orientation="landscape"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sheetPr>
  <dimension ref="A1:AM60"/>
  <sheetViews>
    <sheetView showGridLines="0" view="pageBreakPreview" topLeftCell="L35" zoomScale="59" zoomScaleNormal="100" zoomScaleSheetLayoutView="59" workbookViewId="0">
      <selection activeCell="L59" sqref="L59:AM59"/>
    </sheetView>
  </sheetViews>
  <sheetFormatPr defaultColWidth="9.125" defaultRowHeight="11.4"/>
  <cols>
    <col min="1" max="6" width="2.75" style="86" hidden="1" customWidth="1"/>
    <col min="7" max="7" width="8" style="86" hidden="1" customWidth="1"/>
    <col min="8" max="10" width="2.75" style="86" hidden="1" customWidth="1"/>
    <col min="11" max="11" width="3.75" style="86" hidden="1" customWidth="1"/>
    <col min="12" max="12" width="9.75" style="88" customWidth="1"/>
    <col min="13" max="13" width="50.75" style="88" customWidth="1"/>
    <col min="14" max="14" width="11" style="88" customWidth="1"/>
    <col min="15" max="19" width="13.75" style="86" customWidth="1"/>
    <col min="20" max="28" width="13.75" style="86" hidden="1" customWidth="1"/>
    <col min="29" max="29" width="13.75" style="86" customWidth="1"/>
    <col min="30" max="38" width="13.75" style="86" hidden="1" customWidth="1"/>
    <col min="39" max="39" width="20.75" style="88" customWidth="1"/>
    <col min="40" max="16384" width="9.125" style="86"/>
  </cols>
  <sheetData>
    <row r="1" spans="1:39" hidden="1">
      <c r="A1" s="781"/>
      <c r="B1" s="781"/>
      <c r="C1" s="781"/>
      <c r="D1" s="781"/>
      <c r="E1" s="781"/>
      <c r="F1" s="781"/>
      <c r="G1" s="781"/>
      <c r="H1" s="781"/>
      <c r="I1" s="781"/>
      <c r="J1" s="781"/>
      <c r="K1" s="781"/>
      <c r="L1" s="751"/>
      <c r="M1" s="751"/>
      <c r="N1" s="751"/>
      <c r="O1" s="781">
        <v>2022</v>
      </c>
      <c r="P1" s="781">
        <v>2022</v>
      </c>
      <c r="Q1" s="781">
        <v>2022</v>
      </c>
      <c r="R1" s="781">
        <v>2023</v>
      </c>
      <c r="S1" s="781">
        <v>2024</v>
      </c>
      <c r="T1" s="781">
        <v>2025</v>
      </c>
      <c r="U1" s="781">
        <v>2026</v>
      </c>
      <c r="V1" s="781">
        <v>2027</v>
      </c>
      <c r="W1" s="781">
        <v>2028</v>
      </c>
      <c r="X1" s="781">
        <v>2029</v>
      </c>
      <c r="Y1" s="781">
        <v>2030</v>
      </c>
      <c r="Z1" s="781">
        <v>2031</v>
      </c>
      <c r="AA1" s="781">
        <v>2032</v>
      </c>
      <c r="AB1" s="781">
        <v>2033</v>
      </c>
      <c r="AC1" s="781">
        <v>2024</v>
      </c>
      <c r="AD1" s="781">
        <v>2025</v>
      </c>
      <c r="AE1" s="781">
        <v>2026</v>
      </c>
      <c r="AF1" s="781">
        <v>2027</v>
      </c>
      <c r="AG1" s="781">
        <v>2028</v>
      </c>
      <c r="AH1" s="781">
        <v>2029</v>
      </c>
      <c r="AI1" s="781">
        <v>2030</v>
      </c>
      <c r="AJ1" s="781">
        <v>2031</v>
      </c>
      <c r="AK1" s="781">
        <v>2032</v>
      </c>
      <c r="AL1" s="781">
        <v>2033</v>
      </c>
      <c r="AM1" s="751"/>
    </row>
    <row r="2" spans="1:39" hidden="1">
      <c r="A2" s="781"/>
      <c r="B2" s="781"/>
      <c r="C2" s="781"/>
      <c r="D2" s="781"/>
      <c r="E2" s="781"/>
      <c r="F2" s="781"/>
      <c r="G2" s="781"/>
      <c r="H2" s="781"/>
      <c r="I2" s="781"/>
      <c r="J2" s="781"/>
      <c r="K2" s="781"/>
      <c r="L2" s="751"/>
      <c r="M2" s="751"/>
      <c r="N2" s="751"/>
      <c r="O2" s="781" t="s">
        <v>268</v>
      </c>
      <c r="P2" s="781" t="s">
        <v>306</v>
      </c>
      <c r="Q2" s="781" t="s">
        <v>286</v>
      </c>
      <c r="R2" s="781" t="s">
        <v>268</v>
      </c>
      <c r="S2" s="781" t="s">
        <v>269</v>
      </c>
      <c r="T2" s="781" t="s">
        <v>269</v>
      </c>
      <c r="U2" s="781" t="s">
        <v>269</v>
      </c>
      <c r="V2" s="781" t="s">
        <v>269</v>
      </c>
      <c r="W2" s="781" t="s">
        <v>269</v>
      </c>
      <c r="X2" s="781" t="s">
        <v>269</v>
      </c>
      <c r="Y2" s="781" t="s">
        <v>269</v>
      </c>
      <c r="Z2" s="781" t="s">
        <v>269</v>
      </c>
      <c r="AA2" s="781" t="s">
        <v>269</v>
      </c>
      <c r="AB2" s="781" t="s">
        <v>269</v>
      </c>
      <c r="AC2" s="781" t="s">
        <v>268</v>
      </c>
      <c r="AD2" s="781" t="s">
        <v>268</v>
      </c>
      <c r="AE2" s="781" t="s">
        <v>268</v>
      </c>
      <c r="AF2" s="781" t="s">
        <v>268</v>
      </c>
      <c r="AG2" s="781" t="s">
        <v>268</v>
      </c>
      <c r="AH2" s="781" t="s">
        <v>268</v>
      </c>
      <c r="AI2" s="781" t="s">
        <v>268</v>
      </c>
      <c r="AJ2" s="781" t="s">
        <v>268</v>
      </c>
      <c r="AK2" s="781" t="s">
        <v>268</v>
      </c>
      <c r="AL2" s="781" t="s">
        <v>268</v>
      </c>
      <c r="AM2" s="751"/>
    </row>
    <row r="3" spans="1:39" hidden="1">
      <c r="A3" s="781"/>
      <c r="B3" s="781"/>
      <c r="C3" s="781"/>
      <c r="D3" s="781"/>
      <c r="E3" s="781"/>
      <c r="F3" s="781"/>
      <c r="G3" s="781"/>
      <c r="H3" s="781"/>
      <c r="I3" s="781"/>
      <c r="J3" s="781"/>
      <c r="K3" s="781"/>
      <c r="L3" s="751"/>
      <c r="M3" s="751"/>
      <c r="N3" s="751"/>
      <c r="O3" s="781" t="s">
        <v>3018</v>
      </c>
      <c r="P3" s="781" t="s">
        <v>3019</v>
      </c>
      <c r="Q3" s="781" t="s">
        <v>3020</v>
      </c>
      <c r="R3" s="781" t="s">
        <v>3022</v>
      </c>
      <c r="S3" s="781" t="s">
        <v>3023</v>
      </c>
      <c r="T3" s="781" t="s">
        <v>3028</v>
      </c>
      <c r="U3" s="781" t="s">
        <v>3030</v>
      </c>
      <c r="V3" s="781" t="s">
        <v>3032</v>
      </c>
      <c r="W3" s="781" t="s">
        <v>3034</v>
      </c>
      <c r="X3" s="781" t="s">
        <v>3036</v>
      </c>
      <c r="Y3" s="781" t="s">
        <v>3038</v>
      </c>
      <c r="Z3" s="781" t="s">
        <v>3040</v>
      </c>
      <c r="AA3" s="781" t="s">
        <v>3042</v>
      </c>
      <c r="AB3" s="781" t="s">
        <v>3044</v>
      </c>
      <c r="AC3" s="781" t="s">
        <v>3024</v>
      </c>
      <c r="AD3" s="781" t="s">
        <v>3029</v>
      </c>
      <c r="AE3" s="781" t="s">
        <v>3031</v>
      </c>
      <c r="AF3" s="781" t="s">
        <v>3033</v>
      </c>
      <c r="AG3" s="781" t="s">
        <v>3035</v>
      </c>
      <c r="AH3" s="781" t="s">
        <v>3037</v>
      </c>
      <c r="AI3" s="781" t="s">
        <v>3039</v>
      </c>
      <c r="AJ3" s="781" t="s">
        <v>3041</v>
      </c>
      <c r="AK3" s="781" t="s">
        <v>3043</v>
      </c>
      <c r="AL3" s="781" t="s">
        <v>3045</v>
      </c>
      <c r="AM3" s="751"/>
    </row>
    <row r="4" spans="1:39" hidden="1">
      <c r="A4" s="781"/>
      <c r="B4" s="781"/>
      <c r="C4" s="781"/>
      <c r="D4" s="781"/>
      <c r="E4" s="781"/>
      <c r="F4" s="781"/>
      <c r="G4" s="781"/>
      <c r="H4" s="781"/>
      <c r="I4" s="781"/>
      <c r="J4" s="781"/>
      <c r="K4" s="781"/>
      <c r="L4" s="751"/>
      <c r="M4" s="751"/>
      <c r="N4" s="751"/>
      <c r="O4" s="781"/>
      <c r="P4" s="781"/>
      <c r="Q4" s="781"/>
      <c r="R4" s="781"/>
      <c r="S4" s="781"/>
      <c r="T4" s="781"/>
      <c r="U4" s="781"/>
      <c r="V4" s="781"/>
      <c r="W4" s="781"/>
      <c r="X4" s="781"/>
      <c r="Y4" s="781"/>
      <c r="Z4" s="781"/>
      <c r="AA4" s="781"/>
      <c r="AB4" s="781"/>
      <c r="AC4" s="781"/>
      <c r="AD4" s="781"/>
      <c r="AE4" s="781"/>
      <c r="AF4" s="781"/>
      <c r="AG4" s="781"/>
      <c r="AH4" s="781"/>
      <c r="AI4" s="781"/>
      <c r="AJ4" s="781"/>
      <c r="AK4" s="781"/>
      <c r="AL4" s="781"/>
      <c r="AM4" s="751"/>
    </row>
    <row r="5" spans="1:39" hidden="1">
      <c r="A5" s="781"/>
      <c r="B5" s="781"/>
      <c r="C5" s="781"/>
      <c r="D5" s="781"/>
      <c r="E5" s="781"/>
      <c r="F5" s="781"/>
      <c r="G5" s="781"/>
      <c r="H5" s="781"/>
      <c r="I5" s="781"/>
      <c r="J5" s="781"/>
      <c r="K5" s="781"/>
      <c r="L5" s="751"/>
      <c r="M5" s="751"/>
      <c r="N5" s="751"/>
      <c r="O5" s="781"/>
      <c r="P5" s="781"/>
      <c r="Q5" s="781"/>
      <c r="R5" s="781"/>
      <c r="S5" s="781"/>
      <c r="T5" s="781"/>
      <c r="U5" s="781"/>
      <c r="V5" s="781"/>
      <c r="W5" s="781"/>
      <c r="X5" s="781"/>
      <c r="Y5" s="781"/>
      <c r="Z5" s="781"/>
      <c r="AA5" s="781"/>
      <c r="AB5" s="781"/>
      <c r="AC5" s="781"/>
      <c r="AD5" s="781"/>
      <c r="AE5" s="781"/>
      <c r="AF5" s="781"/>
      <c r="AG5" s="781"/>
      <c r="AH5" s="781"/>
      <c r="AI5" s="781"/>
      <c r="AJ5" s="781"/>
      <c r="AK5" s="781"/>
      <c r="AL5" s="781"/>
      <c r="AM5" s="751"/>
    </row>
    <row r="6" spans="1:39" hidden="1">
      <c r="A6" s="781"/>
      <c r="B6" s="781"/>
      <c r="C6" s="781"/>
      <c r="D6" s="781"/>
      <c r="E6" s="781"/>
      <c r="F6" s="781"/>
      <c r="G6" s="781"/>
      <c r="H6" s="781"/>
      <c r="I6" s="781"/>
      <c r="J6" s="781"/>
      <c r="K6" s="781"/>
      <c r="L6" s="751"/>
      <c r="M6" s="751"/>
      <c r="N6" s="751"/>
      <c r="O6" s="781"/>
      <c r="P6" s="781"/>
      <c r="Q6" s="781"/>
      <c r="R6" s="781"/>
      <c r="S6" s="781"/>
      <c r="T6" s="781"/>
      <c r="U6" s="781"/>
      <c r="V6" s="781"/>
      <c r="W6" s="781"/>
      <c r="X6" s="781"/>
      <c r="Y6" s="781"/>
      <c r="Z6" s="781"/>
      <c r="AA6" s="781"/>
      <c r="AB6" s="781"/>
      <c r="AC6" s="781"/>
      <c r="AD6" s="781"/>
      <c r="AE6" s="781"/>
      <c r="AF6" s="781"/>
      <c r="AG6" s="781"/>
      <c r="AH6" s="781"/>
      <c r="AI6" s="781"/>
      <c r="AJ6" s="781"/>
      <c r="AK6" s="781"/>
      <c r="AL6" s="781"/>
      <c r="AM6" s="751"/>
    </row>
    <row r="7" spans="1:39" hidden="1">
      <c r="A7" s="781"/>
      <c r="B7" s="781"/>
      <c r="C7" s="781"/>
      <c r="D7" s="781"/>
      <c r="E7" s="781"/>
      <c r="F7" s="781"/>
      <c r="G7" s="781"/>
      <c r="H7" s="781"/>
      <c r="I7" s="781"/>
      <c r="J7" s="781"/>
      <c r="K7" s="781"/>
      <c r="L7" s="751"/>
      <c r="M7" s="751"/>
      <c r="N7" s="751"/>
      <c r="O7" s="781"/>
      <c r="P7" s="781"/>
      <c r="Q7" s="781"/>
      <c r="R7" s="781"/>
      <c r="S7" s="731" t="b">
        <v>1</v>
      </c>
      <c r="T7" s="731" t="b">
        <v>0</v>
      </c>
      <c r="U7" s="731" t="b">
        <v>0</v>
      </c>
      <c r="V7" s="731" t="b">
        <v>0</v>
      </c>
      <c r="W7" s="731" t="b">
        <v>0</v>
      </c>
      <c r="X7" s="731" t="b">
        <v>0</v>
      </c>
      <c r="Y7" s="731" t="b">
        <v>0</v>
      </c>
      <c r="Z7" s="731" t="b">
        <v>0</v>
      </c>
      <c r="AA7" s="731" t="b">
        <v>0</v>
      </c>
      <c r="AB7" s="731" t="b">
        <v>0</v>
      </c>
      <c r="AC7" s="731" t="b">
        <v>1</v>
      </c>
      <c r="AD7" s="731" t="b">
        <v>0</v>
      </c>
      <c r="AE7" s="731" t="b">
        <v>0</v>
      </c>
      <c r="AF7" s="731" t="b">
        <v>0</v>
      </c>
      <c r="AG7" s="731" t="b">
        <v>0</v>
      </c>
      <c r="AH7" s="731" t="b">
        <v>0</v>
      </c>
      <c r="AI7" s="731" t="b">
        <v>0</v>
      </c>
      <c r="AJ7" s="731" t="b">
        <v>0</v>
      </c>
      <c r="AK7" s="731" t="b">
        <v>0</v>
      </c>
      <c r="AL7" s="731" t="b">
        <v>0</v>
      </c>
      <c r="AM7" s="751"/>
    </row>
    <row r="8" spans="1:39" hidden="1">
      <c r="A8" s="781"/>
      <c r="B8" s="781"/>
      <c r="C8" s="781"/>
      <c r="D8" s="781"/>
      <c r="E8" s="781"/>
      <c r="F8" s="781"/>
      <c r="G8" s="781"/>
      <c r="H8" s="781"/>
      <c r="I8" s="781"/>
      <c r="J8" s="781"/>
      <c r="K8" s="781"/>
      <c r="L8" s="751"/>
      <c r="M8" s="751"/>
      <c r="N8" s="751"/>
      <c r="O8" s="781"/>
      <c r="P8" s="781"/>
      <c r="Q8" s="781"/>
      <c r="R8" s="781"/>
      <c r="S8" s="781"/>
      <c r="T8" s="781"/>
      <c r="U8" s="781"/>
      <c r="V8" s="781"/>
      <c r="W8" s="781"/>
      <c r="X8" s="781"/>
      <c r="Y8" s="781"/>
      <c r="Z8" s="781"/>
      <c r="AA8" s="781"/>
      <c r="AB8" s="781"/>
      <c r="AC8" s="781"/>
      <c r="AD8" s="781"/>
      <c r="AE8" s="781"/>
      <c r="AF8" s="781"/>
      <c r="AG8" s="781"/>
      <c r="AH8" s="781"/>
      <c r="AI8" s="781"/>
      <c r="AJ8" s="781"/>
      <c r="AK8" s="781"/>
      <c r="AL8" s="781"/>
      <c r="AM8" s="751"/>
    </row>
    <row r="9" spans="1:39" hidden="1">
      <c r="A9" s="781"/>
      <c r="B9" s="781"/>
      <c r="C9" s="781"/>
      <c r="D9" s="781"/>
      <c r="E9" s="781"/>
      <c r="F9" s="781"/>
      <c r="G9" s="781"/>
      <c r="H9" s="781"/>
      <c r="I9" s="781"/>
      <c r="J9" s="781"/>
      <c r="K9" s="781"/>
      <c r="L9" s="751"/>
      <c r="M9" s="751"/>
      <c r="N9" s="751"/>
      <c r="O9" s="781"/>
      <c r="P9" s="781"/>
      <c r="Q9" s="781"/>
      <c r="R9" s="781"/>
      <c r="S9" s="781"/>
      <c r="T9" s="781"/>
      <c r="U9" s="781"/>
      <c r="V9" s="781"/>
      <c r="W9" s="781"/>
      <c r="X9" s="781"/>
      <c r="Y9" s="781"/>
      <c r="Z9" s="781"/>
      <c r="AA9" s="781"/>
      <c r="AB9" s="781"/>
      <c r="AC9" s="781"/>
      <c r="AD9" s="781"/>
      <c r="AE9" s="781"/>
      <c r="AF9" s="781"/>
      <c r="AG9" s="781"/>
      <c r="AH9" s="781"/>
      <c r="AI9" s="781"/>
      <c r="AJ9" s="781"/>
      <c r="AK9" s="781"/>
      <c r="AL9" s="781"/>
      <c r="AM9" s="751"/>
    </row>
    <row r="10" spans="1:39" hidden="1">
      <c r="A10" s="781"/>
      <c r="B10" s="781"/>
      <c r="C10" s="781"/>
      <c r="D10" s="781"/>
      <c r="E10" s="781"/>
      <c r="F10" s="781"/>
      <c r="G10" s="781"/>
      <c r="H10" s="781"/>
      <c r="I10" s="781"/>
      <c r="J10" s="781"/>
      <c r="K10" s="781"/>
      <c r="L10" s="751"/>
      <c r="M10" s="751"/>
      <c r="N10" s="75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51"/>
    </row>
    <row r="11" spans="1:39" ht="15" hidden="1" customHeight="1">
      <c r="A11" s="781"/>
      <c r="B11" s="781"/>
      <c r="C11" s="781"/>
      <c r="D11" s="781"/>
      <c r="E11" s="781"/>
      <c r="F11" s="781"/>
      <c r="G11" s="781"/>
      <c r="H11" s="781"/>
      <c r="I11" s="781"/>
      <c r="J11" s="781"/>
      <c r="K11" s="781"/>
      <c r="L11" s="751"/>
      <c r="M11" s="737"/>
      <c r="N11" s="751"/>
      <c r="O11" s="781"/>
      <c r="P11" s="781"/>
      <c r="Q11" s="781"/>
      <c r="R11" s="781"/>
      <c r="S11" s="781"/>
      <c r="T11" s="781"/>
      <c r="U11" s="781"/>
      <c r="V11" s="781"/>
      <c r="W11" s="781"/>
      <c r="X11" s="781"/>
      <c r="Y11" s="781"/>
      <c r="Z11" s="781"/>
      <c r="AA11" s="781"/>
      <c r="AB11" s="781"/>
      <c r="AC11" s="781"/>
      <c r="AD11" s="781"/>
      <c r="AE11" s="781"/>
      <c r="AF11" s="781"/>
      <c r="AG11" s="781"/>
      <c r="AH11" s="781"/>
      <c r="AI11" s="781"/>
      <c r="AJ11" s="781"/>
      <c r="AK11" s="781"/>
      <c r="AL11" s="781"/>
      <c r="AM11" s="751"/>
    </row>
    <row r="12" spans="1:39" s="87" customFormat="1" ht="20.100000000000001" customHeight="1">
      <c r="A12" s="610"/>
      <c r="B12" s="610"/>
      <c r="C12" s="610"/>
      <c r="D12" s="610"/>
      <c r="E12" s="610"/>
      <c r="F12" s="610"/>
      <c r="G12" s="610"/>
      <c r="H12" s="610"/>
      <c r="I12" s="610"/>
      <c r="J12" s="610"/>
      <c r="K12" s="610"/>
      <c r="L12" s="416" t="s">
        <v>1243</v>
      </c>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row>
    <row r="13" spans="1:39" ht="11.25" customHeight="1">
      <c r="A13" s="781"/>
      <c r="B13" s="781"/>
      <c r="C13" s="781"/>
      <c r="D13" s="781"/>
      <c r="E13" s="781"/>
      <c r="F13" s="781"/>
      <c r="G13" s="781"/>
      <c r="H13" s="781"/>
      <c r="I13" s="781"/>
      <c r="J13" s="781"/>
      <c r="K13" s="781"/>
      <c r="L13" s="751"/>
      <c r="M13" s="751"/>
      <c r="N13" s="751"/>
      <c r="O13" s="781"/>
      <c r="P13" s="781"/>
      <c r="Q13" s="781"/>
      <c r="R13" s="781"/>
      <c r="S13" s="781"/>
      <c r="T13" s="781"/>
      <c r="U13" s="781"/>
      <c r="V13" s="781"/>
      <c r="W13" s="781"/>
      <c r="X13" s="781"/>
      <c r="Y13" s="781"/>
      <c r="Z13" s="781"/>
      <c r="AA13" s="781"/>
      <c r="AB13" s="781"/>
      <c r="AC13" s="781"/>
      <c r="AD13" s="781"/>
      <c r="AE13" s="781"/>
      <c r="AF13" s="781"/>
      <c r="AG13" s="781"/>
      <c r="AH13" s="781"/>
      <c r="AI13" s="781"/>
      <c r="AJ13" s="781"/>
      <c r="AK13" s="781"/>
      <c r="AL13" s="781"/>
      <c r="AM13" s="751"/>
    </row>
    <row r="14" spans="1:39" s="87" customFormat="1" ht="15" hidden="1" customHeight="1">
      <c r="A14" s="610"/>
      <c r="B14" s="610"/>
      <c r="C14" s="610"/>
      <c r="D14" s="610"/>
      <c r="E14" s="610"/>
      <c r="F14" s="610"/>
      <c r="G14" s="610" t="b">
        <v>0</v>
      </c>
      <c r="H14" s="610"/>
      <c r="I14" s="610"/>
      <c r="J14" s="610"/>
      <c r="K14" s="610"/>
      <c r="L14" s="1110" t="s">
        <v>1261</v>
      </c>
      <c r="M14" s="1110"/>
      <c r="N14" s="1110"/>
      <c r="O14" s="1110"/>
      <c r="P14" s="1110"/>
      <c r="Q14" s="1110"/>
      <c r="R14" s="1110"/>
      <c r="S14" s="1110"/>
      <c r="T14" s="1110"/>
      <c r="U14" s="1110"/>
      <c r="V14" s="1110"/>
      <c r="W14" s="1110"/>
      <c r="X14" s="1110"/>
      <c r="Y14" s="1110"/>
      <c r="Z14" s="1110"/>
      <c r="AA14" s="1110"/>
      <c r="AB14" s="1110"/>
      <c r="AC14" s="1110"/>
      <c r="AD14" s="1110"/>
      <c r="AE14" s="1110"/>
      <c r="AF14" s="1110"/>
      <c r="AG14" s="1110"/>
      <c r="AH14" s="1110"/>
      <c r="AI14" s="1110"/>
      <c r="AJ14" s="1110"/>
      <c r="AK14" s="1110"/>
      <c r="AL14" s="1110"/>
      <c r="AM14" s="1110"/>
    </row>
    <row r="15" spans="1:39" s="88" customFormat="1" ht="15" hidden="1" customHeight="1">
      <c r="A15" s="751"/>
      <c r="B15" s="751"/>
      <c r="C15" s="751"/>
      <c r="D15" s="751"/>
      <c r="E15" s="751"/>
      <c r="F15" s="751"/>
      <c r="G15" s="610" t="b">
        <v>0</v>
      </c>
      <c r="H15" s="751"/>
      <c r="I15" s="751"/>
      <c r="J15" s="751"/>
      <c r="K15" s="751"/>
      <c r="L15" s="1112" t="s">
        <v>16</v>
      </c>
      <c r="M15" s="1113" t="s">
        <v>121</v>
      </c>
      <c r="N15" s="1109" t="s">
        <v>135</v>
      </c>
      <c r="O15" s="782" t="s">
        <v>3010</v>
      </c>
      <c r="P15" s="782" t="s">
        <v>3010</v>
      </c>
      <c r="Q15" s="782" t="s">
        <v>3010</v>
      </c>
      <c r="R15" s="783" t="s">
        <v>3011</v>
      </c>
      <c r="S15" s="747" t="s">
        <v>3012</v>
      </c>
      <c r="T15" s="747" t="s">
        <v>3046</v>
      </c>
      <c r="U15" s="747" t="s">
        <v>3047</v>
      </c>
      <c r="V15" s="747" t="s">
        <v>3048</v>
      </c>
      <c r="W15" s="747" t="s">
        <v>3049</v>
      </c>
      <c r="X15" s="747" t="s">
        <v>3050</v>
      </c>
      <c r="Y15" s="747" t="s">
        <v>3051</v>
      </c>
      <c r="Z15" s="747" t="s">
        <v>3052</v>
      </c>
      <c r="AA15" s="747" t="s">
        <v>3053</v>
      </c>
      <c r="AB15" s="747" t="s">
        <v>3054</v>
      </c>
      <c r="AC15" s="747" t="s">
        <v>3012</v>
      </c>
      <c r="AD15" s="747" t="s">
        <v>3046</v>
      </c>
      <c r="AE15" s="747" t="s">
        <v>3047</v>
      </c>
      <c r="AF15" s="747" t="s">
        <v>3048</v>
      </c>
      <c r="AG15" s="747" t="s">
        <v>3049</v>
      </c>
      <c r="AH15" s="747" t="s">
        <v>3050</v>
      </c>
      <c r="AI15" s="747" t="s">
        <v>3051</v>
      </c>
      <c r="AJ15" s="747" t="s">
        <v>3052</v>
      </c>
      <c r="AK15" s="747" t="s">
        <v>3053</v>
      </c>
      <c r="AL15" s="747" t="s">
        <v>3054</v>
      </c>
      <c r="AM15" s="1111" t="s">
        <v>305</v>
      </c>
    </row>
    <row r="16" spans="1:39" s="88" customFormat="1" ht="69.900000000000006" hidden="1" customHeight="1">
      <c r="A16" s="751"/>
      <c r="B16" s="751"/>
      <c r="C16" s="751"/>
      <c r="D16" s="751"/>
      <c r="E16" s="751"/>
      <c r="F16" s="751"/>
      <c r="G16" s="610" t="b">
        <v>0</v>
      </c>
      <c r="H16" s="751"/>
      <c r="I16" s="751"/>
      <c r="J16" s="751"/>
      <c r="K16" s="751"/>
      <c r="L16" s="1112"/>
      <c r="M16" s="1114"/>
      <c r="N16" s="1109"/>
      <c r="O16" s="747" t="s">
        <v>268</v>
      </c>
      <c r="P16" s="747" t="s">
        <v>306</v>
      </c>
      <c r="Q16" s="747" t="s">
        <v>286</v>
      </c>
      <c r="R16" s="747" t="s">
        <v>268</v>
      </c>
      <c r="S16" s="784" t="s">
        <v>269</v>
      </c>
      <c r="T16" s="784" t="s">
        <v>269</v>
      </c>
      <c r="U16" s="784" t="s">
        <v>269</v>
      </c>
      <c r="V16" s="784" t="s">
        <v>269</v>
      </c>
      <c r="W16" s="784" t="s">
        <v>269</v>
      </c>
      <c r="X16" s="784" t="s">
        <v>269</v>
      </c>
      <c r="Y16" s="784" t="s">
        <v>269</v>
      </c>
      <c r="Z16" s="784" t="s">
        <v>269</v>
      </c>
      <c r="AA16" s="784" t="s">
        <v>269</v>
      </c>
      <c r="AB16" s="784" t="s">
        <v>269</v>
      </c>
      <c r="AC16" s="784" t="s">
        <v>268</v>
      </c>
      <c r="AD16" s="784" t="s">
        <v>268</v>
      </c>
      <c r="AE16" s="784" t="s">
        <v>268</v>
      </c>
      <c r="AF16" s="784" t="s">
        <v>268</v>
      </c>
      <c r="AG16" s="784" t="s">
        <v>268</v>
      </c>
      <c r="AH16" s="784" t="s">
        <v>268</v>
      </c>
      <c r="AI16" s="784" t="s">
        <v>268</v>
      </c>
      <c r="AJ16" s="784" t="s">
        <v>268</v>
      </c>
      <c r="AK16" s="784" t="s">
        <v>268</v>
      </c>
      <c r="AL16" s="784" t="s">
        <v>268</v>
      </c>
      <c r="AM16" s="1111"/>
    </row>
    <row r="17" spans="1:39" s="88" customFormat="1" hidden="1">
      <c r="A17" s="751"/>
      <c r="B17" s="751"/>
      <c r="C17" s="751"/>
      <c r="D17" s="751"/>
      <c r="E17" s="751"/>
      <c r="F17" s="751"/>
      <c r="G17" s="610" t="b">
        <v>0</v>
      </c>
      <c r="H17" s="751"/>
      <c r="I17" s="751"/>
      <c r="J17" s="751"/>
      <c r="K17" s="751"/>
      <c r="L17" s="785"/>
      <c r="M17" s="785"/>
      <c r="N17" s="785"/>
      <c r="O17" s="786"/>
      <c r="P17" s="786"/>
      <c r="Q17" s="786"/>
      <c r="R17" s="786"/>
      <c r="S17" s="786"/>
      <c r="T17" s="786"/>
      <c r="U17" s="786"/>
      <c r="V17" s="786"/>
      <c r="W17" s="786"/>
      <c r="X17" s="786"/>
      <c r="Y17" s="786"/>
      <c r="Z17" s="786"/>
      <c r="AA17" s="786"/>
      <c r="AB17" s="786"/>
      <c r="AC17" s="786"/>
      <c r="AD17" s="786"/>
      <c r="AE17" s="786"/>
      <c r="AF17" s="786"/>
      <c r="AG17" s="786"/>
      <c r="AH17" s="786"/>
      <c r="AI17" s="786"/>
      <c r="AJ17" s="786"/>
      <c r="AK17" s="786"/>
      <c r="AL17" s="786"/>
      <c r="AM17" s="787"/>
    </row>
    <row r="18" spans="1:39" s="87" customFormat="1" ht="15" hidden="1" customHeight="1">
      <c r="A18" s="610"/>
      <c r="B18" s="610"/>
      <c r="C18" s="610"/>
      <c r="D18" s="610"/>
      <c r="E18" s="610"/>
      <c r="F18" s="610"/>
      <c r="G18" s="610" t="b">
        <v>0</v>
      </c>
      <c r="H18" s="610"/>
      <c r="I18" s="610"/>
      <c r="J18" s="610"/>
      <c r="K18" s="610"/>
      <c r="L18" s="1110" t="s">
        <v>1262</v>
      </c>
      <c r="M18" s="1110"/>
      <c r="N18" s="1110"/>
      <c r="O18" s="1110"/>
      <c r="P18" s="1110"/>
      <c r="Q18" s="1110"/>
      <c r="R18" s="1110"/>
      <c r="S18" s="1110"/>
      <c r="T18" s="1110"/>
      <c r="U18" s="1110"/>
      <c r="V18" s="1110"/>
      <c r="W18" s="1110"/>
      <c r="X18" s="1110"/>
      <c r="Y18" s="1110"/>
      <c r="Z18" s="1110"/>
      <c r="AA18" s="1110"/>
      <c r="AB18" s="1110"/>
      <c r="AC18" s="1110"/>
      <c r="AD18" s="1110"/>
      <c r="AE18" s="1110"/>
      <c r="AF18" s="1110"/>
      <c r="AG18" s="1110"/>
      <c r="AH18" s="1110"/>
      <c r="AI18" s="1110"/>
      <c r="AJ18" s="1110"/>
      <c r="AK18" s="1110"/>
      <c r="AL18" s="1110"/>
      <c r="AM18" s="1110"/>
    </row>
    <row r="19" spans="1:39" s="88" customFormat="1" ht="15" hidden="1" customHeight="1">
      <c r="A19" s="751"/>
      <c r="B19" s="751"/>
      <c r="C19" s="751"/>
      <c r="D19" s="751"/>
      <c r="E19" s="751"/>
      <c r="F19" s="751"/>
      <c r="G19" s="610" t="b">
        <v>0</v>
      </c>
      <c r="H19" s="751"/>
      <c r="I19" s="751"/>
      <c r="J19" s="751"/>
      <c r="K19" s="751"/>
      <c r="L19" s="1112" t="s">
        <v>16</v>
      </c>
      <c r="M19" s="1113" t="s">
        <v>121</v>
      </c>
      <c r="N19" s="1109" t="s">
        <v>135</v>
      </c>
      <c r="O19" s="782" t="s">
        <v>3010</v>
      </c>
      <c r="P19" s="782" t="s">
        <v>3010</v>
      </c>
      <c r="Q19" s="782" t="s">
        <v>3010</v>
      </c>
      <c r="R19" s="783" t="s">
        <v>3011</v>
      </c>
      <c r="S19" s="747" t="s">
        <v>3012</v>
      </c>
      <c r="T19" s="747" t="s">
        <v>3046</v>
      </c>
      <c r="U19" s="747" t="s">
        <v>3047</v>
      </c>
      <c r="V19" s="747" t="s">
        <v>3048</v>
      </c>
      <c r="W19" s="747" t="s">
        <v>3049</v>
      </c>
      <c r="X19" s="747" t="s">
        <v>3050</v>
      </c>
      <c r="Y19" s="747" t="s">
        <v>3051</v>
      </c>
      <c r="Z19" s="747" t="s">
        <v>3052</v>
      </c>
      <c r="AA19" s="747" t="s">
        <v>3053</v>
      </c>
      <c r="AB19" s="747" t="s">
        <v>3054</v>
      </c>
      <c r="AC19" s="747" t="s">
        <v>3012</v>
      </c>
      <c r="AD19" s="747" t="s">
        <v>3046</v>
      </c>
      <c r="AE19" s="747" t="s">
        <v>3047</v>
      </c>
      <c r="AF19" s="747" t="s">
        <v>3048</v>
      </c>
      <c r="AG19" s="747" t="s">
        <v>3049</v>
      </c>
      <c r="AH19" s="747" t="s">
        <v>3050</v>
      </c>
      <c r="AI19" s="747" t="s">
        <v>3051</v>
      </c>
      <c r="AJ19" s="747" t="s">
        <v>3052</v>
      </c>
      <c r="AK19" s="747" t="s">
        <v>3053</v>
      </c>
      <c r="AL19" s="747" t="s">
        <v>3054</v>
      </c>
      <c r="AM19" s="1111" t="s">
        <v>305</v>
      </c>
    </row>
    <row r="20" spans="1:39" s="88" customFormat="1" ht="69.900000000000006" hidden="1" customHeight="1">
      <c r="A20" s="751"/>
      <c r="B20" s="751"/>
      <c r="C20" s="751"/>
      <c r="D20" s="751"/>
      <c r="E20" s="751"/>
      <c r="F20" s="751"/>
      <c r="G20" s="610" t="b">
        <v>0</v>
      </c>
      <c r="H20" s="751"/>
      <c r="I20" s="751"/>
      <c r="J20" s="751"/>
      <c r="K20" s="751"/>
      <c r="L20" s="1112"/>
      <c r="M20" s="1114"/>
      <c r="N20" s="1109"/>
      <c r="O20" s="747" t="s">
        <v>268</v>
      </c>
      <c r="P20" s="747" t="s">
        <v>306</v>
      </c>
      <c r="Q20" s="747" t="s">
        <v>286</v>
      </c>
      <c r="R20" s="747" t="s">
        <v>268</v>
      </c>
      <c r="S20" s="784" t="s">
        <v>269</v>
      </c>
      <c r="T20" s="784" t="s">
        <v>269</v>
      </c>
      <c r="U20" s="784" t="s">
        <v>269</v>
      </c>
      <c r="V20" s="784" t="s">
        <v>269</v>
      </c>
      <c r="W20" s="784" t="s">
        <v>269</v>
      </c>
      <c r="X20" s="784" t="s">
        <v>269</v>
      </c>
      <c r="Y20" s="784" t="s">
        <v>269</v>
      </c>
      <c r="Z20" s="784" t="s">
        <v>269</v>
      </c>
      <c r="AA20" s="784" t="s">
        <v>269</v>
      </c>
      <c r="AB20" s="784" t="s">
        <v>269</v>
      </c>
      <c r="AC20" s="784" t="s">
        <v>268</v>
      </c>
      <c r="AD20" s="784" t="s">
        <v>268</v>
      </c>
      <c r="AE20" s="784" t="s">
        <v>268</v>
      </c>
      <c r="AF20" s="784" t="s">
        <v>268</v>
      </c>
      <c r="AG20" s="784" t="s">
        <v>268</v>
      </c>
      <c r="AH20" s="784" t="s">
        <v>268</v>
      </c>
      <c r="AI20" s="784" t="s">
        <v>268</v>
      </c>
      <c r="AJ20" s="784" t="s">
        <v>268</v>
      </c>
      <c r="AK20" s="784" t="s">
        <v>268</v>
      </c>
      <c r="AL20" s="784" t="s">
        <v>268</v>
      </c>
      <c r="AM20" s="1111"/>
    </row>
    <row r="21" spans="1:39" ht="15" hidden="1" customHeight="1">
      <c r="A21" s="781"/>
      <c r="B21" s="781"/>
      <c r="C21" s="781"/>
      <c r="D21" s="781"/>
      <c r="E21" s="781"/>
      <c r="F21" s="781"/>
      <c r="G21" s="610" t="b">
        <v>0</v>
      </c>
      <c r="H21" s="781"/>
      <c r="I21" s="781"/>
      <c r="J21" s="781"/>
      <c r="K21" s="781"/>
      <c r="L21" s="785"/>
      <c r="M21" s="785"/>
      <c r="N21" s="785"/>
      <c r="O21" s="785"/>
      <c r="P21" s="785"/>
      <c r="Q21" s="785"/>
      <c r="R21" s="785"/>
      <c r="S21" s="785"/>
      <c r="T21" s="785"/>
      <c r="U21" s="785"/>
      <c r="V21" s="785"/>
      <c r="W21" s="785"/>
      <c r="X21" s="785"/>
      <c r="Y21" s="785"/>
      <c r="Z21" s="785"/>
      <c r="AA21" s="785"/>
      <c r="AB21" s="785"/>
      <c r="AC21" s="785"/>
      <c r="AD21" s="785"/>
      <c r="AE21" s="785"/>
      <c r="AF21" s="785"/>
      <c r="AG21" s="785"/>
      <c r="AH21" s="785"/>
      <c r="AI21" s="785"/>
      <c r="AJ21" s="785"/>
      <c r="AK21" s="785"/>
      <c r="AL21" s="785"/>
      <c r="AM21" s="785"/>
    </row>
    <row r="22" spans="1:39" s="87" customFormat="1" ht="15" hidden="1" customHeight="1">
      <c r="A22" s="610"/>
      <c r="B22" s="610"/>
      <c r="C22" s="610"/>
      <c r="D22" s="610"/>
      <c r="E22" s="610"/>
      <c r="F22" s="610"/>
      <c r="G22" s="610" t="b">
        <v>0</v>
      </c>
      <c r="H22" s="610"/>
      <c r="I22" s="610"/>
      <c r="J22" s="610"/>
      <c r="K22" s="610"/>
      <c r="L22" s="1110" t="s">
        <v>1263</v>
      </c>
      <c r="M22" s="1110"/>
      <c r="N22" s="1110"/>
      <c r="O22" s="1110"/>
      <c r="P22" s="1110"/>
      <c r="Q22" s="1110"/>
      <c r="R22" s="1110"/>
      <c r="S22" s="1110"/>
      <c r="T22" s="1110"/>
      <c r="U22" s="1110"/>
      <c r="V22" s="1110"/>
      <c r="W22" s="1110"/>
      <c r="X22" s="1110"/>
      <c r="Y22" s="1110"/>
      <c r="Z22" s="1110"/>
      <c r="AA22" s="1110"/>
      <c r="AB22" s="1110"/>
      <c r="AC22" s="1110"/>
      <c r="AD22" s="1110"/>
      <c r="AE22" s="1110"/>
      <c r="AF22" s="1110"/>
      <c r="AG22" s="1110"/>
      <c r="AH22" s="1110"/>
      <c r="AI22" s="1110"/>
      <c r="AJ22" s="1110"/>
      <c r="AK22" s="1110"/>
      <c r="AL22" s="1110"/>
      <c r="AM22" s="1110"/>
    </row>
    <row r="23" spans="1:39" s="88" customFormat="1" ht="15" hidden="1" customHeight="1">
      <c r="A23" s="751"/>
      <c r="B23" s="751"/>
      <c r="C23" s="751"/>
      <c r="D23" s="751"/>
      <c r="E23" s="751"/>
      <c r="F23" s="751"/>
      <c r="G23" s="610" t="b">
        <v>0</v>
      </c>
      <c r="H23" s="751"/>
      <c r="I23" s="751"/>
      <c r="J23" s="751"/>
      <c r="K23" s="751"/>
      <c r="L23" s="1112" t="s">
        <v>16</v>
      </c>
      <c r="M23" s="1113" t="s">
        <v>121</v>
      </c>
      <c r="N23" s="1109" t="s">
        <v>135</v>
      </c>
      <c r="O23" s="782" t="s">
        <v>3010</v>
      </c>
      <c r="P23" s="782" t="s">
        <v>3010</v>
      </c>
      <c r="Q23" s="782" t="s">
        <v>3010</v>
      </c>
      <c r="R23" s="783" t="s">
        <v>3011</v>
      </c>
      <c r="S23" s="747" t="s">
        <v>3012</v>
      </c>
      <c r="T23" s="747" t="s">
        <v>3046</v>
      </c>
      <c r="U23" s="747" t="s">
        <v>3047</v>
      </c>
      <c r="V23" s="747" t="s">
        <v>3048</v>
      </c>
      <c r="W23" s="747" t="s">
        <v>3049</v>
      </c>
      <c r="X23" s="747" t="s">
        <v>3050</v>
      </c>
      <c r="Y23" s="747" t="s">
        <v>3051</v>
      </c>
      <c r="Z23" s="747" t="s">
        <v>3052</v>
      </c>
      <c r="AA23" s="747" t="s">
        <v>3053</v>
      </c>
      <c r="AB23" s="747" t="s">
        <v>3054</v>
      </c>
      <c r="AC23" s="747" t="s">
        <v>3012</v>
      </c>
      <c r="AD23" s="747" t="s">
        <v>3046</v>
      </c>
      <c r="AE23" s="747" t="s">
        <v>3047</v>
      </c>
      <c r="AF23" s="747" t="s">
        <v>3048</v>
      </c>
      <c r="AG23" s="747" t="s">
        <v>3049</v>
      </c>
      <c r="AH23" s="747" t="s">
        <v>3050</v>
      </c>
      <c r="AI23" s="747" t="s">
        <v>3051</v>
      </c>
      <c r="AJ23" s="747" t="s">
        <v>3052</v>
      </c>
      <c r="AK23" s="747" t="s">
        <v>3053</v>
      </c>
      <c r="AL23" s="747" t="s">
        <v>3054</v>
      </c>
      <c r="AM23" s="1111" t="s">
        <v>305</v>
      </c>
    </row>
    <row r="24" spans="1:39" s="88" customFormat="1" ht="69.900000000000006" hidden="1" customHeight="1">
      <c r="A24" s="751"/>
      <c r="B24" s="751"/>
      <c r="C24" s="751"/>
      <c r="D24" s="751"/>
      <c r="E24" s="751"/>
      <c r="F24" s="751"/>
      <c r="G24" s="610" t="b">
        <v>0</v>
      </c>
      <c r="H24" s="751"/>
      <c r="I24" s="751"/>
      <c r="J24" s="751"/>
      <c r="K24" s="751"/>
      <c r="L24" s="1112"/>
      <c r="M24" s="1114"/>
      <c r="N24" s="1109"/>
      <c r="O24" s="747" t="s">
        <v>268</v>
      </c>
      <c r="P24" s="747" t="s">
        <v>306</v>
      </c>
      <c r="Q24" s="747" t="s">
        <v>286</v>
      </c>
      <c r="R24" s="747" t="s">
        <v>268</v>
      </c>
      <c r="S24" s="784" t="s">
        <v>269</v>
      </c>
      <c r="T24" s="784" t="s">
        <v>269</v>
      </c>
      <c r="U24" s="784" t="s">
        <v>269</v>
      </c>
      <c r="V24" s="784" t="s">
        <v>269</v>
      </c>
      <c r="W24" s="784" t="s">
        <v>269</v>
      </c>
      <c r="X24" s="784" t="s">
        <v>269</v>
      </c>
      <c r="Y24" s="784" t="s">
        <v>269</v>
      </c>
      <c r="Z24" s="784" t="s">
        <v>269</v>
      </c>
      <c r="AA24" s="784" t="s">
        <v>269</v>
      </c>
      <c r="AB24" s="784" t="s">
        <v>269</v>
      </c>
      <c r="AC24" s="784" t="s">
        <v>268</v>
      </c>
      <c r="AD24" s="784" t="s">
        <v>268</v>
      </c>
      <c r="AE24" s="784" t="s">
        <v>268</v>
      </c>
      <c r="AF24" s="784" t="s">
        <v>268</v>
      </c>
      <c r="AG24" s="784" t="s">
        <v>268</v>
      </c>
      <c r="AH24" s="784" t="s">
        <v>268</v>
      </c>
      <c r="AI24" s="784" t="s">
        <v>268</v>
      </c>
      <c r="AJ24" s="784" t="s">
        <v>268</v>
      </c>
      <c r="AK24" s="784" t="s">
        <v>268</v>
      </c>
      <c r="AL24" s="784" t="s">
        <v>268</v>
      </c>
      <c r="AM24" s="1111"/>
    </row>
    <row r="25" spans="1:39" ht="15" hidden="1" customHeight="1">
      <c r="A25" s="781"/>
      <c r="B25" s="781"/>
      <c r="C25" s="781"/>
      <c r="D25" s="781"/>
      <c r="E25" s="781"/>
      <c r="F25" s="781"/>
      <c r="G25" s="610" t="b">
        <v>0</v>
      </c>
      <c r="H25" s="781"/>
      <c r="I25" s="781"/>
      <c r="J25" s="781"/>
      <c r="K25" s="781"/>
      <c r="L25" s="751"/>
      <c r="M25" s="751"/>
      <c r="N25" s="751"/>
      <c r="O25" s="781"/>
      <c r="P25" s="781"/>
      <c r="Q25" s="781"/>
      <c r="R25" s="781"/>
      <c r="S25" s="781"/>
      <c r="T25" s="781"/>
      <c r="U25" s="781"/>
      <c r="V25" s="781"/>
      <c r="W25" s="781"/>
      <c r="X25" s="781"/>
      <c r="Y25" s="781"/>
      <c r="Z25" s="781"/>
      <c r="AA25" s="781"/>
      <c r="AB25" s="781"/>
      <c r="AC25" s="781"/>
      <c r="AD25" s="781"/>
      <c r="AE25" s="781"/>
      <c r="AF25" s="781"/>
      <c r="AG25" s="781"/>
      <c r="AH25" s="781"/>
      <c r="AI25" s="781"/>
      <c r="AJ25" s="781"/>
      <c r="AK25" s="781"/>
      <c r="AL25" s="781"/>
      <c r="AM25" s="751"/>
    </row>
    <row r="26" spans="1:39" s="87" customFormat="1" ht="15" customHeight="1">
      <c r="A26" s="610"/>
      <c r="B26" s="610"/>
      <c r="C26" s="610"/>
      <c r="D26" s="610"/>
      <c r="E26" s="610"/>
      <c r="F26" s="610"/>
      <c r="G26" s="610" t="b">
        <v>1</v>
      </c>
      <c r="H26" s="610"/>
      <c r="I26" s="610"/>
      <c r="J26" s="610"/>
      <c r="K26" s="610"/>
      <c r="L26" s="1120" t="s">
        <v>1264</v>
      </c>
      <c r="M26" s="1120"/>
      <c r="N26" s="1120"/>
      <c r="O26" s="1120"/>
      <c r="P26" s="1120"/>
      <c r="Q26" s="1120"/>
      <c r="R26" s="1120"/>
      <c r="S26" s="1120"/>
      <c r="T26" s="1120"/>
      <c r="U26" s="1120"/>
      <c r="V26" s="1120"/>
      <c r="W26" s="1120"/>
      <c r="X26" s="1120"/>
      <c r="Y26" s="1120"/>
      <c r="Z26" s="1120"/>
      <c r="AA26" s="1120"/>
      <c r="AB26" s="1120"/>
      <c r="AC26" s="1120"/>
      <c r="AD26" s="1120"/>
      <c r="AE26" s="1120"/>
      <c r="AF26" s="1120"/>
      <c r="AG26" s="1120"/>
      <c r="AH26" s="1120"/>
      <c r="AI26" s="1120"/>
      <c r="AJ26" s="1120"/>
      <c r="AK26" s="1120"/>
      <c r="AL26" s="1120"/>
      <c r="AM26" s="1120"/>
    </row>
    <row r="27" spans="1:39" s="88" customFormat="1" ht="15" customHeight="1">
      <c r="A27" s="751"/>
      <c r="B27" s="751"/>
      <c r="C27" s="751"/>
      <c r="D27" s="751"/>
      <c r="E27" s="751"/>
      <c r="F27" s="751"/>
      <c r="G27" s="610" t="b">
        <v>1</v>
      </c>
      <c r="H27" s="751"/>
      <c r="I27" s="751"/>
      <c r="J27" s="751"/>
      <c r="K27" s="751"/>
      <c r="L27" s="1112" t="s">
        <v>16</v>
      </c>
      <c r="M27" s="1113" t="s">
        <v>121</v>
      </c>
      <c r="N27" s="1109" t="s">
        <v>135</v>
      </c>
      <c r="O27" s="782" t="s">
        <v>3010</v>
      </c>
      <c r="P27" s="782" t="s">
        <v>3010</v>
      </c>
      <c r="Q27" s="782" t="s">
        <v>3010</v>
      </c>
      <c r="R27" s="783" t="s">
        <v>3011</v>
      </c>
      <c r="S27" s="747" t="s">
        <v>3012</v>
      </c>
      <c r="T27" s="747" t="s">
        <v>3046</v>
      </c>
      <c r="U27" s="747" t="s">
        <v>3047</v>
      </c>
      <c r="V27" s="747" t="s">
        <v>3048</v>
      </c>
      <c r="W27" s="747" t="s">
        <v>3049</v>
      </c>
      <c r="X27" s="747" t="s">
        <v>3050</v>
      </c>
      <c r="Y27" s="747" t="s">
        <v>3051</v>
      </c>
      <c r="Z27" s="747" t="s">
        <v>3052</v>
      </c>
      <c r="AA27" s="747" t="s">
        <v>3053</v>
      </c>
      <c r="AB27" s="747" t="s">
        <v>3054</v>
      </c>
      <c r="AC27" s="747" t="s">
        <v>3012</v>
      </c>
      <c r="AD27" s="747" t="s">
        <v>3046</v>
      </c>
      <c r="AE27" s="747" t="s">
        <v>3047</v>
      </c>
      <c r="AF27" s="747" t="s">
        <v>3048</v>
      </c>
      <c r="AG27" s="747" t="s">
        <v>3049</v>
      </c>
      <c r="AH27" s="747" t="s">
        <v>3050</v>
      </c>
      <c r="AI27" s="747" t="s">
        <v>3051</v>
      </c>
      <c r="AJ27" s="747" t="s">
        <v>3052</v>
      </c>
      <c r="AK27" s="747" t="s">
        <v>3053</v>
      </c>
      <c r="AL27" s="747" t="s">
        <v>3054</v>
      </c>
      <c r="AM27" s="1111" t="s">
        <v>305</v>
      </c>
    </row>
    <row r="28" spans="1:39" s="88" customFormat="1" ht="69.900000000000006" hidden="1" customHeight="1">
      <c r="A28" s="751"/>
      <c r="B28" s="751"/>
      <c r="C28" s="751"/>
      <c r="D28" s="751"/>
      <c r="E28" s="751"/>
      <c r="F28" s="751"/>
      <c r="G28" s="610" t="b">
        <v>1</v>
      </c>
      <c r="H28" s="751"/>
      <c r="I28" s="751"/>
      <c r="J28" s="751"/>
      <c r="K28" s="751"/>
      <c r="L28" s="1112"/>
      <c r="M28" s="1114"/>
      <c r="N28" s="1109"/>
      <c r="O28" s="747" t="s">
        <v>268</v>
      </c>
      <c r="P28" s="747" t="s">
        <v>306</v>
      </c>
      <c r="Q28" s="747" t="s">
        <v>286</v>
      </c>
      <c r="R28" s="747" t="s">
        <v>268</v>
      </c>
      <c r="S28" s="784" t="s">
        <v>269</v>
      </c>
      <c r="T28" s="784" t="s">
        <v>269</v>
      </c>
      <c r="U28" s="784" t="s">
        <v>269</v>
      </c>
      <c r="V28" s="784" t="s">
        <v>269</v>
      </c>
      <c r="W28" s="784" t="s">
        <v>269</v>
      </c>
      <c r="X28" s="784" t="s">
        <v>269</v>
      </c>
      <c r="Y28" s="784" t="s">
        <v>269</v>
      </c>
      <c r="Z28" s="784" t="s">
        <v>269</v>
      </c>
      <c r="AA28" s="784" t="s">
        <v>269</v>
      </c>
      <c r="AB28" s="784" t="s">
        <v>269</v>
      </c>
      <c r="AC28" s="784" t="s">
        <v>268</v>
      </c>
      <c r="AD28" s="784" t="s">
        <v>268</v>
      </c>
      <c r="AE28" s="784" t="s">
        <v>268</v>
      </c>
      <c r="AF28" s="784" t="s">
        <v>268</v>
      </c>
      <c r="AG28" s="784" t="s">
        <v>268</v>
      </c>
      <c r="AH28" s="784" t="s">
        <v>268</v>
      </c>
      <c r="AI28" s="784" t="s">
        <v>268</v>
      </c>
      <c r="AJ28" s="784" t="s">
        <v>268</v>
      </c>
      <c r="AK28" s="784" t="s">
        <v>268</v>
      </c>
      <c r="AL28" s="784" t="s">
        <v>268</v>
      </c>
      <c r="AM28" s="1111"/>
    </row>
    <row r="29" spans="1:39" hidden="1">
      <c r="A29" s="788" t="s">
        <v>18</v>
      </c>
      <c r="B29" s="781"/>
      <c r="C29" s="781"/>
      <c r="D29" s="781"/>
      <c r="E29" s="781"/>
      <c r="F29" s="781"/>
      <c r="G29" s="781"/>
      <c r="H29" s="781"/>
      <c r="I29" s="781"/>
      <c r="J29" s="781"/>
      <c r="K29" s="781"/>
      <c r="L29" s="687" t="s">
        <v>3005</v>
      </c>
      <c r="M29" s="708"/>
      <c r="N29" s="708"/>
      <c r="O29" s="789"/>
      <c r="P29" s="789"/>
      <c r="Q29" s="789"/>
      <c r="R29" s="789"/>
      <c r="S29" s="789"/>
      <c r="T29" s="789"/>
      <c r="U29" s="789"/>
      <c r="V29" s="789"/>
      <c r="W29" s="789"/>
      <c r="X29" s="789"/>
      <c r="Y29" s="789"/>
      <c r="Z29" s="789"/>
      <c r="AA29" s="789"/>
      <c r="AB29" s="789"/>
      <c r="AC29" s="789"/>
      <c r="AD29" s="789"/>
      <c r="AE29" s="789"/>
      <c r="AF29" s="789"/>
      <c r="AG29" s="789"/>
      <c r="AH29" s="789"/>
      <c r="AI29" s="789"/>
      <c r="AJ29" s="789"/>
      <c r="AK29" s="789"/>
      <c r="AL29" s="789"/>
      <c r="AM29" s="708"/>
    </row>
    <row r="30" spans="1:39">
      <c r="A30" s="788" t="s">
        <v>18</v>
      </c>
      <c r="B30" s="781"/>
      <c r="C30" s="781"/>
      <c r="D30" s="781"/>
      <c r="E30" s="781"/>
      <c r="F30" s="781"/>
      <c r="G30" s="781"/>
      <c r="H30" s="781"/>
      <c r="I30" s="781"/>
      <c r="J30" s="781"/>
      <c r="K30" s="781"/>
      <c r="L30" s="790" t="s">
        <v>18</v>
      </c>
      <c r="M30" s="791" t="s">
        <v>337</v>
      </c>
      <c r="N30" s="792"/>
      <c r="O30" s="793" t="s">
        <v>1319</v>
      </c>
      <c r="P30" s="794"/>
      <c r="Q30" s="794"/>
      <c r="R30" s="794"/>
      <c r="S30" s="794"/>
      <c r="T30" s="794"/>
      <c r="U30" s="794"/>
      <c r="V30" s="794"/>
      <c r="W30" s="794"/>
      <c r="X30" s="794"/>
      <c r="Y30" s="794"/>
      <c r="Z30" s="794"/>
      <c r="AA30" s="794"/>
      <c r="AB30" s="794"/>
      <c r="AC30" s="794"/>
      <c r="AD30" s="794"/>
      <c r="AE30" s="794"/>
      <c r="AF30" s="794"/>
      <c r="AG30" s="794"/>
      <c r="AH30" s="794"/>
      <c r="AI30" s="794"/>
      <c r="AJ30" s="794"/>
      <c r="AK30" s="794"/>
      <c r="AL30" s="795"/>
      <c r="AM30" s="796"/>
    </row>
    <row r="31" spans="1:39">
      <c r="A31" s="788" t="s">
        <v>18</v>
      </c>
      <c r="B31" s="781"/>
      <c r="C31" s="781" t="s">
        <v>1438</v>
      </c>
      <c r="D31" s="781"/>
      <c r="E31" s="781"/>
      <c r="F31" s="781"/>
      <c r="G31" s="781"/>
      <c r="H31" s="781"/>
      <c r="I31" s="781"/>
      <c r="J31" s="781"/>
      <c r="K31" s="781"/>
      <c r="L31" s="790" t="s">
        <v>102</v>
      </c>
      <c r="M31" s="797" t="s">
        <v>307</v>
      </c>
      <c r="N31" s="747" t="s">
        <v>308</v>
      </c>
      <c r="O31" s="798">
        <v>65.67</v>
      </c>
      <c r="P31" s="798">
        <v>65.67</v>
      </c>
      <c r="Q31" s="798">
        <v>65.67</v>
      </c>
      <c r="R31" s="798">
        <v>65.67</v>
      </c>
      <c r="S31" s="798">
        <v>65.67</v>
      </c>
      <c r="T31" s="798"/>
      <c r="U31" s="798"/>
      <c r="V31" s="798"/>
      <c r="W31" s="798"/>
      <c r="X31" s="798"/>
      <c r="Y31" s="798"/>
      <c r="Z31" s="798"/>
      <c r="AA31" s="798"/>
      <c r="AB31" s="798"/>
      <c r="AC31" s="798">
        <v>65.67</v>
      </c>
      <c r="AD31" s="798"/>
      <c r="AE31" s="798"/>
      <c r="AF31" s="798"/>
      <c r="AG31" s="798"/>
      <c r="AH31" s="798"/>
      <c r="AI31" s="798"/>
      <c r="AJ31" s="798"/>
      <c r="AK31" s="798"/>
      <c r="AL31" s="798"/>
      <c r="AM31" s="796"/>
    </row>
    <row r="32" spans="1:39">
      <c r="A32" s="788" t="s">
        <v>18</v>
      </c>
      <c r="B32" s="781"/>
      <c r="C32" s="781" t="s">
        <v>1442</v>
      </c>
      <c r="D32" s="781"/>
      <c r="E32" s="781"/>
      <c r="F32" s="781"/>
      <c r="G32" s="781"/>
      <c r="H32" s="781"/>
      <c r="I32" s="781"/>
      <c r="J32" s="781"/>
      <c r="K32" s="781"/>
      <c r="L32" s="790" t="s">
        <v>103</v>
      </c>
      <c r="M32" s="797" t="s">
        <v>309</v>
      </c>
      <c r="N32" s="747" t="s">
        <v>308</v>
      </c>
      <c r="O32" s="798">
        <v>65.67</v>
      </c>
      <c r="P32" s="798">
        <v>65.67</v>
      </c>
      <c r="Q32" s="798">
        <v>65.67</v>
      </c>
      <c r="R32" s="798">
        <v>65.67</v>
      </c>
      <c r="S32" s="798">
        <v>65.67</v>
      </c>
      <c r="T32" s="798"/>
      <c r="U32" s="798"/>
      <c r="V32" s="798"/>
      <c r="W32" s="798"/>
      <c r="X32" s="798"/>
      <c r="Y32" s="798"/>
      <c r="Z32" s="798"/>
      <c r="AA32" s="798"/>
      <c r="AB32" s="798"/>
      <c r="AC32" s="798">
        <v>65.67</v>
      </c>
      <c r="AD32" s="798"/>
      <c r="AE32" s="798"/>
      <c r="AF32" s="798"/>
      <c r="AG32" s="798"/>
      <c r="AH32" s="798"/>
      <c r="AI32" s="798"/>
      <c r="AJ32" s="798"/>
      <c r="AK32" s="798"/>
      <c r="AL32" s="798"/>
      <c r="AM32" s="796"/>
    </row>
    <row r="33" spans="1:39">
      <c r="A33" s="788" t="s">
        <v>18</v>
      </c>
      <c r="B33" s="781"/>
      <c r="C33" s="781" t="s">
        <v>1444</v>
      </c>
      <c r="D33" s="781"/>
      <c r="E33" s="781"/>
      <c r="F33" s="781"/>
      <c r="G33" s="781"/>
      <c r="H33" s="781"/>
      <c r="I33" s="781"/>
      <c r="J33" s="781"/>
      <c r="K33" s="781"/>
      <c r="L33" s="790" t="s">
        <v>104</v>
      </c>
      <c r="M33" s="799" t="s">
        <v>348</v>
      </c>
      <c r="N33" s="746" t="s">
        <v>311</v>
      </c>
      <c r="O33" s="800">
        <v>590</v>
      </c>
      <c r="P33" s="800">
        <v>651.79</v>
      </c>
      <c r="Q33" s="800">
        <v>651.79</v>
      </c>
      <c r="R33" s="800">
        <v>571.72</v>
      </c>
      <c r="S33" s="800">
        <v>685.16</v>
      </c>
      <c r="T33" s="800">
        <v>0</v>
      </c>
      <c r="U33" s="800">
        <v>0</v>
      </c>
      <c r="V33" s="800">
        <v>0</v>
      </c>
      <c r="W33" s="800">
        <v>0</v>
      </c>
      <c r="X33" s="800">
        <v>0</v>
      </c>
      <c r="Y33" s="800">
        <v>0</v>
      </c>
      <c r="Z33" s="800">
        <v>0</v>
      </c>
      <c r="AA33" s="800">
        <v>0</v>
      </c>
      <c r="AB33" s="800">
        <v>0</v>
      </c>
      <c r="AC33" s="800">
        <v>685.16</v>
      </c>
      <c r="AD33" s="800">
        <v>0</v>
      </c>
      <c r="AE33" s="800">
        <v>0</v>
      </c>
      <c r="AF33" s="800">
        <v>0</v>
      </c>
      <c r="AG33" s="800">
        <v>0</v>
      </c>
      <c r="AH33" s="800">
        <v>0</v>
      </c>
      <c r="AI33" s="800">
        <v>0</v>
      </c>
      <c r="AJ33" s="800">
        <v>0</v>
      </c>
      <c r="AK33" s="800">
        <v>0</v>
      </c>
      <c r="AL33" s="800">
        <v>0</v>
      </c>
      <c r="AM33" s="796"/>
    </row>
    <row r="34" spans="1:39">
      <c r="A34" s="788" t="s">
        <v>18</v>
      </c>
      <c r="B34" s="781"/>
      <c r="C34" s="781" t="s">
        <v>1598</v>
      </c>
      <c r="D34" s="781"/>
      <c r="E34" s="781"/>
      <c r="F34" s="781"/>
      <c r="G34" s="781"/>
      <c r="H34" s="781"/>
      <c r="I34" s="781"/>
      <c r="J34" s="781"/>
      <c r="K34" s="781"/>
      <c r="L34" s="790" t="s">
        <v>140</v>
      </c>
      <c r="M34" s="801" t="s">
        <v>1139</v>
      </c>
      <c r="N34" s="746" t="s">
        <v>311</v>
      </c>
      <c r="O34" s="777"/>
      <c r="P34" s="777"/>
      <c r="Q34" s="777"/>
      <c r="R34" s="777"/>
      <c r="S34" s="777"/>
      <c r="T34" s="777"/>
      <c r="U34" s="777"/>
      <c r="V34" s="777"/>
      <c r="W34" s="777"/>
      <c r="X34" s="777"/>
      <c r="Y34" s="777"/>
      <c r="Z34" s="777"/>
      <c r="AA34" s="777"/>
      <c r="AB34" s="777"/>
      <c r="AC34" s="777"/>
      <c r="AD34" s="777"/>
      <c r="AE34" s="777"/>
      <c r="AF34" s="777"/>
      <c r="AG34" s="777"/>
      <c r="AH34" s="777"/>
      <c r="AI34" s="777"/>
      <c r="AJ34" s="777"/>
      <c r="AK34" s="777"/>
      <c r="AL34" s="777"/>
      <c r="AM34" s="796"/>
    </row>
    <row r="35" spans="1:39">
      <c r="A35" s="788" t="s">
        <v>18</v>
      </c>
      <c r="B35" s="781"/>
      <c r="C35" s="781" t="s">
        <v>1619</v>
      </c>
      <c r="D35" s="781"/>
      <c r="E35" s="781"/>
      <c r="F35" s="781"/>
      <c r="G35" s="781"/>
      <c r="H35" s="781"/>
      <c r="I35" s="781"/>
      <c r="J35" s="781"/>
      <c r="K35" s="781"/>
      <c r="L35" s="790" t="s">
        <v>373</v>
      </c>
      <c r="M35" s="801" t="s">
        <v>1140</v>
      </c>
      <c r="N35" s="746" t="s">
        <v>311</v>
      </c>
      <c r="O35" s="777">
        <v>590</v>
      </c>
      <c r="P35" s="777">
        <v>651.79</v>
      </c>
      <c r="Q35" s="777">
        <v>651.79</v>
      </c>
      <c r="R35" s="777">
        <v>571.72</v>
      </c>
      <c r="S35" s="777">
        <v>685.16</v>
      </c>
      <c r="T35" s="777"/>
      <c r="U35" s="777"/>
      <c r="V35" s="777"/>
      <c r="W35" s="777"/>
      <c r="X35" s="777"/>
      <c r="Y35" s="777"/>
      <c r="Z35" s="777"/>
      <c r="AA35" s="777"/>
      <c r="AB35" s="777"/>
      <c r="AC35" s="777">
        <v>685.16</v>
      </c>
      <c r="AD35" s="777"/>
      <c r="AE35" s="777"/>
      <c r="AF35" s="777"/>
      <c r="AG35" s="777"/>
      <c r="AH35" s="777"/>
      <c r="AI35" s="777"/>
      <c r="AJ35" s="777"/>
      <c r="AK35" s="777"/>
      <c r="AL35" s="777"/>
      <c r="AM35" s="796"/>
    </row>
    <row r="36" spans="1:39" ht="22.8">
      <c r="A36" s="788" t="s">
        <v>18</v>
      </c>
      <c r="B36" s="781"/>
      <c r="C36" s="781" t="s">
        <v>1635</v>
      </c>
      <c r="D36" s="781"/>
      <c r="E36" s="781"/>
      <c r="F36" s="781"/>
      <c r="G36" s="781"/>
      <c r="H36" s="781"/>
      <c r="I36" s="781"/>
      <c r="J36" s="781"/>
      <c r="K36" s="781"/>
      <c r="L36" s="790" t="s">
        <v>374</v>
      </c>
      <c r="M36" s="801" t="s">
        <v>1122</v>
      </c>
      <c r="N36" s="746" t="s">
        <v>311</v>
      </c>
      <c r="O36" s="777"/>
      <c r="P36" s="777"/>
      <c r="Q36" s="777"/>
      <c r="R36" s="777"/>
      <c r="S36" s="777"/>
      <c r="T36" s="777"/>
      <c r="U36" s="777"/>
      <c r="V36" s="777"/>
      <c r="W36" s="777"/>
      <c r="X36" s="777"/>
      <c r="Y36" s="777"/>
      <c r="Z36" s="777"/>
      <c r="AA36" s="777"/>
      <c r="AB36" s="777"/>
      <c r="AC36" s="777"/>
      <c r="AD36" s="777"/>
      <c r="AE36" s="777"/>
      <c r="AF36" s="777"/>
      <c r="AG36" s="777"/>
      <c r="AH36" s="777"/>
      <c r="AI36" s="777"/>
      <c r="AJ36" s="777"/>
      <c r="AK36" s="777"/>
      <c r="AL36" s="777"/>
      <c r="AM36" s="796"/>
    </row>
    <row r="37" spans="1:39" ht="22.8">
      <c r="A37" s="788" t="s">
        <v>18</v>
      </c>
      <c r="B37" s="781" t="s">
        <v>1135</v>
      </c>
      <c r="C37" s="781" t="s">
        <v>1446</v>
      </c>
      <c r="D37" s="781"/>
      <c r="E37" s="781"/>
      <c r="F37" s="781"/>
      <c r="G37" s="781"/>
      <c r="H37" s="781"/>
      <c r="I37" s="781"/>
      <c r="J37" s="781"/>
      <c r="K37" s="781"/>
      <c r="L37" s="790" t="s">
        <v>120</v>
      </c>
      <c r="M37" s="799" t="s">
        <v>349</v>
      </c>
      <c r="N37" s="746" t="s">
        <v>311</v>
      </c>
      <c r="O37" s="800">
        <v>590</v>
      </c>
      <c r="P37" s="800">
        <v>651.79</v>
      </c>
      <c r="Q37" s="800">
        <v>651.79</v>
      </c>
      <c r="R37" s="800">
        <v>571.72</v>
      </c>
      <c r="S37" s="800">
        <v>685.16000000000008</v>
      </c>
      <c r="T37" s="800">
        <v>0</v>
      </c>
      <c r="U37" s="800">
        <v>0</v>
      </c>
      <c r="V37" s="800">
        <v>0</v>
      </c>
      <c r="W37" s="800">
        <v>0</v>
      </c>
      <c r="X37" s="800">
        <v>0</v>
      </c>
      <c r="Y37" s="800">
        <v>0</v>
      </c>
      <c r="Z37" s="800">
        <v>0</v>
      </c>
      <c r="AA37" s="800">
        <v>0</v>
      </c>
      <c r="AB37" s="800">
        <v>0</v>
      </c>
      <c r="AC37" s="800">
        <v>685.16000000000008</v>
      </c>
      <c r="AD37" s="800">
        <v>0</v>
      </c>
      <c r="AE37" s="800">
        <v>0</v>
      </c>
      <c r="AF37" s="800">
        <v>0</v>
      </c>
      <c r="AG37" s="800">
        <v>0</v>
      </c>
      <c r="AH37" s="800">
        <v>0</v>
      </c>
      <c r="AI37" s="800">
        <v>0</v>
      </c>
      <c r="AJ37" s="800">
        <v>0</v>
      </c>
      <c r="AK37" s="800">
        <v>0</v>
      </c>
      <c r="AL37" s="800">
        <v>0</v>
      </c>
      <c r="AM37" s="796"/>
    </row>
    <row r="38" spans="1:39">
      <c r="A38" s="788" t="s">
        <v>18</v>
      </c>
      <c r="B38" s="781"/>
      <c r="C38" s="781" t="s">
        <v>1599</v>
      </c>
      <c r="D38" s="781"/>
      <c r="E38" s="781"/>
      <c r="F38" s="781"/>
      <c r="G38" s="781"/>
      <c r="H38" s="781"/>
      <c r="I38" s="781"/>
      <c r="J38" s="781"/>
      <c r="K38" s="781"/>
      <c r="L38" s="790" t="s">
        <v>122</v>
      </c>
      <c r="M38" s="801" t="s">
        <v>350</v>
      </c>
      <c r="N38" s="746" t="s">
        <v>311</v>
      </c>
      <c r="O38" s="777">
        <v>538.89</v>
      </c>
      <c r="P38" s="777">
        <v>602.98</v>
      </c>
      <c r="Q38" s="777">
        <v>602.98</v>
      </c>
      <c r="R38" s="777">
        <v>524.13</v>
      </c>
      <c r="S38" s="777">
        <v>637.57000000000005</v>
      </c>
      <c r="T38" s="777"/>
      <c r="U38" s="777"/>
      <c r="V38" s="777"/>
      <c r="W38" s="777"/>
      <c r="X38" s="777"/>
      <c r="Y38" s="777"/>
      <c r="Z38" s="777"/>
      <c r="AA38" s="777"/>
      <c r="AB38" s="777"/>
      <c r="AC38" s="777">
        <v>637.57000000000005</v>
      </c>
      <c r="AD38" s="777"/>
      <c r="AE38" s="777"/>
      <c r="AF38" s="777"/>
      <c r="AG38" s="777"/>
      <c r="AH38" s="777"/>
      <c r="AI38" s="777"/>
      <c r="AJ38" s="777"/>
      <c r="AK38" s="777"/>
      <c r="AL38" s="777"/>
      <c r="AM38" s="796"/>
    </row>
    <row r="39" spans="1:39">
      <c r="A39" s="788" t="s">
        <v>18</v>
      </c>
      <c r="B39" s="781"/>
      <c r="C39" s="781" t="s">
        <v>1600</v>
      </c>
      <c r="D39" s="781"/>
      <c r="E39" s="781"/>
      <c r="F39" s="781"/>
      <c r="G39" s="781"/>
      <c r="H39" s="781"/>
      <c r="I39" s="781"/>
      <c r="J39" s="781"/>
      <c r="K39" s="781"/>
      <c r="L39" s="790" t="s">
        <v>123</v>
      </c>
      <c r="M39" s="802" t="s">
        <v>351</v>
      </c>
      <c r="N39" s="746" t="s">
        <v>311</v>
      </c>
      <c r="O39" s="800">
        <v>51.11</v>
      </c>
      <c r="P39" s="800">
        <v>48.81</v>
      </c>
      <c r="Q39" s="800">
        <v>48.81</v>
      </c>
      <c r="R39" s="800">
        <v>47.59</v>
      </c>
      <c r="S39" s="800">
        <v>47.59</v>
      </c>
      <c r="T39" s="800">
        <v>0</v>
      </c>
      <c r="U39" s="800">
        <v>0</v>
      </c>
      <c r="V39" s="800">
        <v>0</v>
      </c>
      <c r="W39" s="800">
        <v>0</v>
      </c>
      <c r="X39" s="800">
        <v>0</v>
      </c>
      <c r="Y39" s="800">
        <v>0</v>
      </c>
      <c r="Z39" s="800">
        <v>0</v>
      </c>
      <c r="AA39" s="800">
        <v>0</v>
      </c>
      <c r="AB39" s="800">
        <v>0</v>
      </c>
      <c r="AC39" s="800">
        <v>47.59</v>
      </c>
      <c r="AD39" s="800">
        <v>0</v>
      </c>
      <c r="AE39" s="800">
        <v>0</v>
      </c>
      <c r="AF39" s="800">
        <v>0</v>
      </c>
      <c r="AG39" s="800">
        <v>0</v>
      </c>
      <c r="AH39" s="800">
        <v>0</v>
      </c>
      <c r="AI39" s="800">
        <v>0</v>
      </c>
      <c r="AJ39" s="800">
        <v>0</v>
      </c>
      <c r="AK39" s="800">
        <v>0</v>
      </c>
      <c r="AL39" s="800">
        <v>0</v>
      </c>
      <c r="AM39" s="796"/>
    </row>
    <row r="40" spans="1:39">
      <c r="A40" s="788" t="s">
        <v>18</v>
      </c>
      <c r="B40" s="781"/>
      <c r="C40" s="781" t="s">
        <v>1696</v>
      </c>
      <c r="D40" s="781"/>
      <c r="E40" s="781"/>
      <c r="F40" s="781"/>
      <c r="G40" s="781"/>
      <c r="H40" s="781"/>
      <c r="I40" s="781"/>
      <c r="J40" s="781"/>
      <c r="K40" s="781"/>
      <c r="L40" s="790" t="s">
        <v>1291</v>
      </c>
      <c r="M40" s="803" t="s">
        <v>329</v>
      </c>
      <c r="N40" s="746" t="s">
        <v>311</v>
      </c>
      <c r="O40" s="777">
        <v>51.11</v>
      </c>
      <c r="P40" s="777">
        <v>48.81</v>
      </c>
      <c r="Q40" s="777">
        <v>48.81</v>
      </c>
      <c r="R40" s="777">
        <v>47.59</v>
      </c>
      <c r="S40" s="777">
        <v>47.59</v>
      </c>
      <c r="T40" s="777"/>
      <c r="U40" s="777"/>
      <c r="V40" s="777"/>
      <c r="W40" s="777"/>
      <c r="X40" s="777"/>
      <c r="Y40" s="777"/>
      <c r="Z40" s="777"/>
      <c r="AA40" s="777"/>
      <c r="AB40" s="777"/>
      <c r="AC40" s="777">
        <v>47.59</v>
      </c>
      <c r="AD40" s="777"/>
      <c r="AE40" s="777"/>
      <c r="AF40" s="777"/>
      <c r="AG40" s="777"/>
      <c r="AH40" s="777"/>
      <c r="AI40" s="777"/>
      <c r="AJ40" s="777"/>
      <c r="AK40" s="777"/>
      <c r="AL40" s="777"/>
      <c r="AM40" s="796"/>
    </row>
    <row r="41" spans="1:39">
      <c r="A41" s="788" t="s">
        <v>18</v>
      </c>
      <c r="B41" s="781"/>
      <c r="C41" s="781" t="s">
        <v>1697</v>
      </c>
      <c r="D41" s="781"/>
      <c r="E41" s="781"/>
      <c r="F41" s="781"/>
      <c r="G41" s="781"/>
      <c r="H41" s="781"/>
      <c r="I41" s="781"/>
      <c r="J41" s="781"/>
      <c r="K41" s="781"/>
      <c r="L41" s="790" t="s">
        <v>1292</v>
      </c>
      <c r="M41" s="803" t="s">
        <v>330</v>
      </c>
      <c r="N41" s="746" t="s">
        <v>311</v>
      </c>
      <c r="O41" s="777"/>
      <c r="P41" s="777"/>
      <c r="Q41" s="777"/>
      <c r="R41" s="777"/>
      <c r="S41" s="777"/>
      <c r="T41" s="777"/>
      <c r="U41" s="777"/>
      <c r="V41" s="777"/>
      <c r="W41" s="777"/>
      <c r="X41" s="777"/>
      <c r="Y41" s="777"/>
      <c r="Z41" s="777"/>
      <c r="AA41" s="777"/>
      <c r="AB41" s="777"/>
      <c r="AC41" s="777"/>
      <c r="AD41" s="777"/>
      <c r="AE41" s="777"/>
      <c r="AF41" s="777"/>
      <c r="AG41" s="777"/>
      <c r="AH41" s="777"/>
      <c r="AI41" s="777"/>
      <c r="AJ41" s="777"/>
      <c r="AK41" s="777"/>
      <c r="AL41" s="777"/>
      <c r="AM41" s="796"/>
    </row>
    <row r="42" spans="1:39" ht="22.8">
      <c r="A42" s="788" t="s">
        <v>18</v>
      </c>
      <c r="B42" s="781"/>
      <c r="C42" s="781" t="s">
        <v>1601</v>
      </c>
      <c r="D42" s="781"/>
      <c r="E42" s="781"/>
      <c r="F42" s="781"/>
      <c r="G42" s="781"/>
      <c r="H42" s="781"/>
      <c r="I42" s="781"/>
      <c r="J42" s="781"/>
      <c r="K42" s="781"/>
      <c r="L42" s="790" t="s">
        <v>378</v>
      </c>
      <c r="M42" s="804" t="s">
        <v>1138</v>
      </c>
      <c r="N42" s="746" t="s">
        <v>311</v>
      </c>
      <c r="O42" s="798"/>
      <c r="P42" s="798"/>
      <c r="Q42" s="798"/>
      <c r="R42" s="798"/>
      <c r="S42" s="798"/>
      <c r="T42" s="798"/>
      <c r="U42" s="798"/>
      <c r="V42" s="798"/>
      <c r="W42" s="798"/>
      <c r="X42" s="798"/>
      <c r="Y42" s="798"/>
      <c r="Z42" s="798"/>
      <c r="AA42" s="798"/>
      <c r="AB42" s="798"/>
      <c r="AC42" s="798"/>
      <c r="AD42" s="798"/>
      <c r="AE42" s="798"/>
      <c r="AF42" s="798"/>
      <c r="AG42" s="798"/>
      <c r="AH42" s="798"/>
      <c r="AI42" s="798"/>
      <c r="AJ42" s="798"/>
      <c r="AK42" s="798"/>
      <c r="AL42" s="798"/>
      <c r="AM42" s="796"/>
    </row>
    <row r="43" spans="1:39">
      <c r="A43" s="788" t="s">
        <v>102</v>
      </c>
      <c r="B43" s="781"/>
      <c r="C43" s="781"/>
      <c r="D43" s="781"/>
      <c r="E43" s="781"/>
      <c r="F43" s="781"/>
      <c r="G43" s="781"/>
      <c r="H43" s="781"/>
      <c r="I43" s="781"/>
      <c r="J43" s="781"/>
      <c r="K43" s="781"/>
      <c r="L43" s="687" t="s">
        <v>3009</v>
      </c>
      <c r="M43" s="708"/>
      <c r="N43" s="708"/>
      <c r="O43" s="789"/>
      <c r="P43" s="789"/>
      <c r="Q43" s="789"/>
      <c r="R43" s="789"/>
      <c r="S43" s="789"/>
      <c r="T43" s="789"/>
      <c r="U43" s="789"/>
      <c r="V43" s="789"/>
      <c r="W43" s="789"/>
      <c r="X43" s="789"/>
      <c r="Y43" s="789"/>
      <c r="Z43" s="789"/>
      <c r="AA43" s="789"/>
      <c r="AB43" s="789"/>
      <c r="AC43" s="789"/>
      <c r="AD43" s="789"/>
      <c r="AE43" s="789"/>
      <c r="AF43" s="789"/>
      <c r="AG43" s="789"/>
      <c r="AH43" s="789"/>
      <c r="AI43" s="789"/>
      <c r="AJ43" s="789"/>
      <c r="AK43" s="789"/>
      <c r="AL43" s="789"/>
      <c r="AM43" s="708"/>
    </row>
    <row r="44" spans="1:39">
      <c r="A44" s="788" t="s">
        <v>102</v>
      </c>
      <c r="B44" s="781"/>
      <c r="C44" s="781"/>
      <c r="D44" s="781"/>
      <c r="E44" s="781"/>
      <c r="F44" s="781"/>
      <c r="G44" s="781"/>
      <c r="H44" s="781"/>
      <c r="I44" s="781"/>
      <c r="J44" s="781"/>
      <c r="K44" s="781"/>
      <c r="L44" s="790" t="s">
        <v>18</v>
      </c>
      <c r="M44" s="791" t="s">
        <v>337</v>
      </c>
      <c r="N44" s="792"/>
      <c r="O44" s="793" t="s">
        <v>1319</v>
      </c>
      <c r="P44" s="794"/>
      <c r="Q44" s="794"/>
      <c r="R44" s="794"/>
      <c r="S44" s="794"/>
      <c r="T44" s="794"/>
      <c r="U44" s="794"/>
      <c r="V44" s="794"/>
      <c r="W44" s="794"/>
      <c r="X44" s="794"/>
      <c r="Y44" s="794"/>
      <c r="Z44" s="794"/>
      <c r="AA44" s="794"/>
      <c r="AB44" s="794"/>
      <c r="AC44" s="794"/>
      <c r="AD44" s="794"/>
      <c r="AE44" s="794"/>
      <c r="AF44" s="794"/>
      <c r="AG44" s="794"/>
      <c r="AH44" s="794"/>
      <c r="AI44" s="794"/>
      <c r="AJ44" s="794"/>
      <c r="AK44" s="794"/>
      <c r="AL44" s="795"/>
      <c r="AM44" s="796"/>
    </row>
    <row r="45" spans="1:39">
      <c r="A45" s="788" t="s">
        <v>102</v>
      </c>
      <c r="B45" s="781"/>
      <c r="C45" s="781" t="s">
        <v>1438</v>
      </c>
      <c r="D45" s="781"/>
      <c r="E45" s="781"/>
      <c r="F45" s="781"/>
      <c r="G45" s="781"/>
      <c r="H45" s="781"/>
      <c r="I45" s="781"/>
      <c r="J45" s="781"/>
      <c r="K45" s="781"/>
      <c r="L45" s="790" t="s">
        <v>102</v>
      </c>
      <c r="M45" s="797" t="s">
        <v>307</v>
      </c>
      <c r="N45" s="747" t="s">
        <v>308</v>
      </c>
      <c r="O45" s="798">
        <v>59.3</v>
      </c>
      <c r="P45" s="798">
        <v>59.3</v>
      </c>
      <c r="Q45" s="798">
        <v>59.3</v>
      </c>
      <c r="R45" s="798">
        <v>59.3</v>
      </c>
      <c r="S45" s="798">
        <v>59.3</v>
      </c>
      <c r="T45" s="798"/>
      <c r="U45" s="798"/>
      <c r="V45" s="798"/>
      <c r="W45" s="798"/>
      <c r="X45" s="798"/>
      <c r="Y45" s="798"/>
      <c r="Z45" s="798"/>
      <c r="AA45" s="798"/>
      <c r="AB45" s="798"/>
      <c r="AC45" s="798">
        <v>59.3</v>
      </c>
      <c r="AD45" s="798"/>
      <c r="AE45" s="798"/>
      <c r="AF45" s="798"/>
      <c r="AG45" s="798"/>
      <c r="AH45" s="798"/>
      <c r="AI45" s="798"/>
      <c r="AJ45" s="798"/>
      <c r="AK45" s="798"/>
      <c r="AL45" s="798"/>
      <c r="AM45" s="796"/>
    </row>
    <row r="46" spans="1:39">
      <c r="A46" s="788" t="s">
        <v>102</v>
      </c>
      <c r="B46" s="781"/>
      <c r="C46" s="781" t="s">
        <v>1442</v>
      </c>
      <c r="D46" s="781"/>
      <c r="E46" s="781"/>
      <c r="F46" s="781"/>
      <c r="G46" s="781"/>
      <c r="H46" s="781"/>
      <c r="I46" s="781"/>
      <c r="J46" s="781"/>
      <c r="K46" s="781"/>
      <c r="L46" s="790" t="s">
        <v>103</v>
      </c>
      <c r="M46" s="797" t="s">
        <v>309</v>
      </c>
      <c r="N46" s="747" t="s">
        <v>308</v>
      </c>
      <c r="O46" s="798">
        <v>59.3</v>
      </c>
      <c r="P46" s="798">
        <v>59.3</v>
      </c>
      <c r="Q46" s="798">
        <v>59.3</v>
      </c>
      <c r="R46" s="798">
        <v>59.3</v>
      </c>
      <c r="S46" s="798">
        <v>59.3</v>
      </c>
      <c r="T46" s="798"/>
      <c r="U46" s="798"/>
      <c r="V46" s="798"/>
      <c r="W46" s="798"/>
      <c r="X46" s="798"/>
      <c r="Y46" s="798"/>
      <c r="Z46" s="798"/>
      <c r="AA46" s="798"/>
      <c r="AB46" s="798"/>
      <c r="AC46" s="798">
        <v>59.3</v>
      </c>
      <c r="AD46" s="798"/>
      <c r="AE46" s="798"/>
      <c r="AF46" s="798"/>
      <c r="AG46" s="798"/>
      <c r="AH46" s="798"/>
      <c r="AI46" s="798"/>
      <c r="AJ46" s="798"/>
      <c r="AK46" s="798"/>
      <c r="AL46" s="798"/>
      <c r="AM46" s="796"/>
    </row>
    <row r="47" spans="1:39">
      <c r="A47" s="788" t="s">
        <v>102</v>
      </c>
      <c r="B47" s="781"/>
      <c r="C47" s="781" t="s">
        <v>1444</v>
      </c>
      <c r="D47" s="781"/>
      <c r="E47" s="781"/>
      <c r="F47" s="781"/>
      <c r="G47" s="781"/>
      <c r="H47" s="781"/>
      <c r="I47" s="781"/>
      <c r="J47" s="781"/>
      <c r="K47" s="781"/>
      <c r="L47" s="790" t="s">
        <v>104</v>
      </c>
      <c r="M47" s="799" t="s">
        <v>348</v>
      </c>
      <c r="N47" s="746" t="s">
        <v>311</v>
      </c>
      <c r="O47" s="800">
        <v>518.96</v>
      </c>
      <c r="P47" s="800">
        <v>644.19000000000005</v>
      </c>
      <c r="Q47" s="800">
        <v>644.19000000000005</v>
      </c>
      <c r="R47" s="800">
        <v>518.96</v>
      </c>
      <c r="S47" s="800">
        <v>515.84</v>
      </c>
      <c r="T47" s="800">
        <v>0</v>
      </c>
      <c r="U47" s="800">
        <v>0</v>
      </c>
      <c r="V47" s="800">
        <v>0</v>
      </c>
      <c r="W47" s="800">
        <v>0</v>
      </c>
      <c r="X47" s="800">
        <v>0</v>
      </c>
      <c r="Y47" s="800">
        <v>0</v>
      </c>
      <c r="Z47" s="800">
        <v>0</v>
      </c>
      <c r="AA47" s="800">
        <v>0</v>
      </c>
      <c r="AB47" s="800">
        <v>0</v>
      </c>
      <c r="AC47" s="800">
        <v>515.84</v>
      </c>
      <c r="AD47" s="800">
        <v>0</v>
      </c>
      <c r="AE47" s="800">
        <v>0</v>
      </c>
      <c r="AF47" s="800">
        <v>0</v>
      </c>
      <c r="AG47" s="800">
        <v>0</v>
      </c>
      <c r="AH47" s="800">
        <v>0</v>
      </c>
      <c r="AI47" s="800">
        <v>0</v>
      </c>
      <c r="AJ47" s="800">
        <v>0</v>
      </c>
      <c r="AK47" s="800">
        <v>0</v>
      </c>
      <c r="AL47" s="800">
        <v>0</v>
      </c>
      <c r="AM47" s="796"/>
    </row>
    <row r="48" spans="1:39">
      <c r="A48" s="788" t="s">
        <v>102</v>
      </c>
      <c r="B48" s="781"/>
      <c r="C48" s="781" t="s">
        <v>1598</v>
      </c>
      <c r="D48" s="781"/>
      <c r="E48" s="781"/>
      <c r="F48" s="781"/>
      <c r="G48" s="781"/>
      <c r="H48" s="781"/>
      <c r="I48" s="781"/>
      <c r="J48" s="781"/>
      <c r="K48" s="781"/>
      <c r="L48" s="790" t="s">
        <v>140</v>
      </c>
      <c r="M48" s="801" t="s">
        <v>1139</v>
      </c>
      <c r="N48" s="746" t="s">
        <v>311</v>
      </c>
      <c r="O48" s="777">
        <v>518.96</v>
      </c>
      <c r="P48" s="777">
        <v>644.19000000000005</v>
      </c>
      <c r="Q48" s="777">
        <v>644.19000000000005</v>
      </c>
      <c r="R48" s="777">
        <v>518.96</v>
      </c>
      <c r="S48" s="777">
        <v>515.84</v>
      </c>
      <c r="T48" s="777"/>
      <c r="U48" s="777"/>
      <c r="V48" s="777"/>
      <c r="W48" s="777"/>
      <c r="X48" s="777"/>
      <c r="Y48" s="777"/>
      <c r="Z48" s="777"/>
      <c r="AA48" s="777"/>
      <c r="AB48" s="777"/>
      <c r="AC48" s="777">
        <v>515.84</v>
      </c>
      <c r="AD48" s="777"/>
      <c r="AE48" s="777"/>
      <c r="AF48" s="777"/>
      <c r="AG48" s="777"/>
      <c r="AH48" s="777"/>
      <c r="AI48" s="777"/>
      <c r="AJ48" s="777"/>
      <c r="AK48" s="777"/>
      <c r="AL48" s="777"/>
      <c r="AM48" s="796"/>
    </row>
    <row r="49" spans="1:39">
      <c r="A49" s="788" t="s">
        <v>102</v>
      </c>
      <c r="B49" s="781"/>
      <c r="C49" s="781" t="s">
        <v>1619</v>
      </c>
      <c r="D49" s="781"/>
      <c r="E49" s="781"/>
      <c r="F49" s="781"/>
      <c r="G49" s="781"/>
      <c r="H49" s="781"/>
      <c r="I49" s="781"/>
      <c r="J49" s="781"/>
      <c r="K49" s="781"/>
      <c r="L49" s="790" t="s">
        <v>373</v>
      </c>
      <c r="M49" s="801" t="s">
        <v>1140</v>
      </c>
      <c r="N49" s="746" t="s">
        <v>311</v>
      </c>
      <c r="O49" s="777"/>
      <c r="P49" s="777"/>
      <c r="Q49" s="777"/>
      <c r="R49" s="777"/>
      <c r="S49" s="777"/>
      <c r="T49" s="777"/>
      <c r="U49" s="777"/>
      <c r="V49" s="777"/>
      <c r="W49" s="777"/>
      <c r="X49" s="777"/>
      <c r="Y49" s="777"/>
      <c r="Z49" s="777"/>
      <c r="AA49" s="777"/>
      <c r="AB49" s="777"/>
      <c r="AC49" s="777"/>
      <c r="AD49" s="777"/>
      <c r="AE49" s="777"/>
      <c r="AF49" s="777"/>
      <c r="AG49" s="777"/>
      <c r="AH49" s="777"/>
      <c r="AI49" s="777"/>
      <c r="AJ49" s="777"/>
      <c r="AK49" s="777"/>
      <c r="AL49" s="777"/>
      <c r="AM49" s="796"/>
    </row>
    <row r="50" spans="1:39" ht="22.8">
      <c r="A50" s="788" t="s">
        <v>102</v>
      </c>
      <c r="B50" s="781"/>
      <c r="C50" s="781" t="s">
        <v>1635</v>
      </c>
      <c r="D50" s="781"/>
      <c r="E50" s="781"/>
      <c r="F50" s="781"/>
      <c r="G50" s="781"/>
      <c r="H50" s="781"/>
      <c r="I50" s="781"/>
      <c r="J50" s="781"/>
      <c r="K50" s="781"/>
      <c r="L50" s="790" t="s">
        <v>374</v>
      </c>
      <c r="M50" s="801" t="s">
        <v>1122</v>
      </c>
      <c r="N50" s="746" t="s">
        <v>311</v>
      </c>
      <c r="O50" s="777"/>
      <c r="P50" s="777"/>
      <c r="Q50" s="777"/>
      <c r="R50" s="777"/>
      <c r="S50" s="777"/>
      <c r="T50" s="777"/>
      <c r="U50" s="777"/>
      <c r="V50" s="777"/>
      <c r="W50" s="777"/>
      <c r="X50" s="777"/>
      <c r="Y50" s="777"/>
      <c r="Z50" s="777"/>
      <c r="AA50" s="777"/>
      <c r="AB50" s="777"/>
      <c r="AC50" s="777"/>
      <c r="AD50" s="777"/>
      <c r="AE50" s="777"/>
      <c r="AF50" s="777"/>
      <c r="AG50" s="777"/>
      <c r="AH50" s="777"/>
      <c r="AI50" s="777"/>
      <c r="AJ50" s="777"/>
      <c r="AK50" s="777"/>
      <c r="AL50" s="777"/>
      <c r="AM50" s="796"/>
    </row>
    <row r="51" spans="1:39" ht="22.8">
      <c r="A51" s="788" t="s">
        <v>102</v>
      </c>
      <c r="B51" s="781" t="s">
        <v>1135</v>
      </c>
      <c r="C51" s="781" t="s">
        <v>1446</v>
      </c>
      <c r="D51" s="781"/>
      <c r="E51" s="781"/>
      <c r="F51" s="781"/>
      <c r="G51" s="781"/>
      <c r="H51" s="781"/>
      <c r="I51" s="781"/>
      <c r="J51" s="781"/>
      <c r="K51" s="781"/>
      <c r="L51" s="790" t="s">
        <v>120</v>
      </c>
      <c r="M51" s="799" t="s">
        <v>349</v>
      </c>
      <c r="N51" s="746" t="s">
        <v>311</v>
      </c>
      <c r="O51" s="800">
        <v>518.96</v>
      </c>
      <c r="P51" s="800">
        <v>644.19000000000005</v>
      </c>
      <c r="Q51" s="800">
        <v>644.19000000000005</v>
      </c>
      <c r="R51" s="800">
        <v>518.96</v>
      </c>
      <c r="S51" s="800">
        <v>515.84</v>
      </c>
      <c r="T51" s="800">
        <v>0</v>
      </c>
      <c r="U51" s="800">
        <v>0</v>
      </c>
      <c r="V51" s="800">
        <v>0</v>
      </c>
      <c r="W51" s="800">
        <v>0</v>
      </c>
      <c r="X51" s="800">
        <v>0</v>
      </c>
      <c r="Y51" s="800">
        <v>0</v>
      </c>
      <c r="Z51" s="800">
        <v>0</v>
      </c>
      <c r="AA51" s="800">
        <v>0</v>
      </c>
      <c r="AB51" s="800">
        <v>0</v>
      </c>
      <c r="AC51" s="800">
        <v>515.84</v>
      </c>
      <c r="AD51" s="800">
        <v>0</v>
      </c>
      <c r="AE51" s="800">
        <v>0</v>
      </c>
      <c r="AF51" s="800">
        <v>0</v>
      </c>
      <c r="AG51" s="800">
        <v>0</v>
      </c>
      <c r="AH51" s="800">
        <v>0</v>
      </c>
      <c r="AI51" s="800">
        <v>0</v>
      </c>
      <c r="AJ51" s="800">
        <v>0</v>
      </c>
      <c r="AK51" s="800">
        <v>0</v>
      </c>
      <c r="AL51" s="800">
        <v>0</v>
      </c>
      <c r="AM51" s="796"/>
    </row>
    <row r="52" spans="1:39">
      <c r="A52" s="788" t="s">
        <v>102</v>
      </c>
      <c r="B52" s="781"/>
      <c r="C52" s="781" t="s">
        <v>1599</v>
      </c>
      <c r="D52" s="781"/>
      <c r="E52" s="781"/>
      <c r="F52" s="781"/>
      <c r="G52" s="781"/>
      <c r="H52" s="781"/>
      <c r="I52" s="781"/>
      <c r="J52" s="781"/>
      <c r="K52" s="781"/>
      <c r="L52" s="790" t="s">
        <v>122</v>
      </c>
      <c r="M52" s="801" t="s">
        <v>350</v>
      </c>
      <c r="N52" s="746" t="s">
        <v>311</v>
      </c>
      <c r="O52" s="777">
        <v>494.73</v>
      </c>
      <c r="P52" s="777">
        <v>614.97</v>
      </c>
      <c r="Q52" s="777">
        <v>614.97</v>
      </c>
      <c r="R52" s="777">
        <v>494.73</v>
      </c>
      <c r="S52" s="777">
        <v>498.4</v>
      </c>
      <c r="T52" s="777"/>
      <c r="U52" s="777"/>
      <c r="V52" s="777"/>
      <c r="W52" s="777"/>
      <c r="X52" s="777"/>
      <c r="Y52" s="777"/>
      <c r="Z52" s="777"/>
      <c r="AA52" s="777"/>
      <c r="AB52" s="777"/>
      <c r="AC52" s="777">
        <v>498.4</v>
      </c>
      <c r="AD52" s="777"/>
      <c r="AE52" s="777"/>
      <c r="AF52" s="777"/>
      <c r="AG52" s="777"/>
      <c r="AH52" s="777"/>
      <c r="AI52" s="777"/>
      <c r="AJ52" s="777"/>
      <c r="AK52" s="777"/>
      <c r="AL52" s="777"/>
      <c r="AM52" s="796"/>
    </row>
    <row r="53" spans="1:39">
      <c r="A53" s="788" t="s">
        <v>102</v>
      </c>
      <c r="B53" s="781"/>
      <c r="C53" s="781" t="s">
        <v>1600</v>
      </c>
      <c r="D53" s="781"/>
      <c r="E53" s="781"/>
      <c r="F53" s="781"/>
      <c r="G53" s="781"/>
      <c r="H53" s="781"/>
      <c r="I53" s="781"/>
      <c r="J53" s="781"/>
      <c r="K53" s="781"/>
      <c r="L53" s="790" t="s">
        <v>123</v>
      </c>
      <c r="M53" s="802" t="s">
        <v>351</v>
      </c>
      <c r="N53" s="746" t="s">
        <v>311</v>
      </c>
      <c r="O53" s="800">
        <v>24.23</v>
      </c>
      <c r="P53" s="800">
        <v>29.22</v>
      </c>
      <c r="Q53" s="800">
        <v>29.22</v>
      </c>
      <c r="R53" s="800">
        <v>24.23</v>
      </c>
      <c r="S53" s="800">
        <v>17.440000000000001</v>
      </c>
      <c r="T53" s="800">
        <v>0</v>
      </c>
      <c r="U53" s="800">
        <v>0</v>
      </c>
      <c r="V53" s="800">
        <v>0</v>
      </c>
      <c r="W53" s="800">
        <v>0</v>
      </c>
      <c r="X53" s="800">
        <v>0</v>
      </c>
      <c r="Y53" s="800">
        <v>0</v>
      </c>
      <c r="Z53" s="800">
        <v>0</v>
      </c>
      <c r="AA53" s="800">
        <v>0</v>
      </c>
      <c r="AB53" s="800">
        <v>0</v>
      </c>
      <c r="AC53" s="800">
        <v>17.440000000000001</v>
      </c>
      <c r="AD53" s="800">
        <v>0</v>
      </c>
      <c r="AE53" s="800">
        <v>0</v>
      </c>
      <c r="AF53" s="800">
        <v>0</v>
      </c>
      <c r="AG53" s="800">
        <v>0</v>
      </c>
      <c r="AH53" s="800">
        <v>0</v>
      </c>
      <c r="AI53" s="800">
        <v>0</v>
      </c>
      <c r="AJ53" s="800">
        <v>0</v>
      </c>
      <c r="AK53" s="800">
        <v>0</v>
      </c>
      <c r="AL53" s="800">
        <v>0</v>
      </c>
      <c r="AM53" s="796"/>
    </row>
    <row r="54" spans="1:39">
      <c r="A54" s="788" t="s">
        <v>102</v>
      </c>
      <c r="B54" s="781"/>
      <c r="C54" s="781" t="s">
        <v>1696</v>
      </c>
      <c r="D54" s="781"/>
      <c r="E54" s="781"/>
      <c r="F54" s="781"/>
      <c r="G54" s="781"/>
      <c r="H54" s="781"/>
      <c r="I54" s="781"/>
      <c r="J54" s="781"/>
      <c r="K54" s="781"/>
      <c r="L54" s="790" t="s">
        <v>1291</v>
      </c>
      <c r="M54" s="803" t="s">
        <v>329</v>
      </c>
      <c r="N54" s="746" t="s">
        <v>311</v>
      </c>
      <c r="O54" s="777">
        <v>24.23</v>
      </c>
      <c r="P54" s="777">
        <v>29.22</v>
      </c>
      <c r="Q54" s="777">
        <v>29.22</v>
      </c>
      <c r="R54" s="777">
        <v>24.23</v>
      </c>
      <c r="S54" s="777">
        <v>17.440000000000001</v>
      </c>
      <c r="T54" s="777"/>
      <c r="U54" s="777"/>
      <c r="V54" s="777"/>
      <c r="W54" s="777"/>
      <c r="X54" s="777"/>
      <c r="Y54" s="777"/>
      <c r="Z54" s="777"/>
      <c r="AA54" s="777"/>
      <c r="AB54" s="777"/>
      <c r="AC54" s="777">
        <v>17.440000000000001</v>
      </c>
      <c r="AD54" s="777"/>
      <c r="AE54" s="777"/>
      <c r="AF54" s="777"/>
      <c r="AG54" s="777"/>
      <c r="AH54" s="777"/>
      <c r="AI54" s="777"/>
      <c r="AJ54" s="777"/>
      <c r="AK54" s="777"/>
      <c r="AL54" s="777"/>
      <c r="AM54" s="796"/>
    </row>
    <row r="55" spans="1:39">
      <c r="A55" s="788" t="s">
        <v>102</v>
      </c>
      <c r="B55" s="781"/>
      <c r="C55" s="781" t="s">
        <v>1697</v>
      </c>
      <c r="D55" s="781"/>
      <c r="E55" s="781"/>
      <c r="F55" s="781"/>
      <c r="G55" s="781"/>
      <c r="H55" s="781"/>
      <c r="I55" s="781"/>
      <c r="J55" s="781"/>
      <c r="K55" s="781"/>
      <c r="L55" s="790" t="s">
        <v>1292</v>
      </c>
      <c r="M55" s="803" t="s">
        <v>330</v>
      </c>
      <c r="N55" s="746" t="s">
        <v>311</v>
      </c>
      <c r="O55" s="777"/>
      <c r="P55" s="777"/>
      <c r="Q55" s="777"/>
      <c r="R55" s="777"/>
      <c r="S55" s="777"/>
      <c r="T55" s="777"/>
      <c r="U55" s="777"/>
      <c r="V55" s="777"/>
      <c r="W55" s="777"/>
      <c r="X55" s="777"/>
      <c r="Y55" s="777"/>
      <c r="Z55" s="777"/>
      <c r="AA55" s="777"/>
      <c r="AB55" s="777"/>
      <c r="AC55" s="777"/>
      <c r="AD55" s="777"/>
      <c r="AE55" s="777"/>
      <c r="AF55" s="777"/>
      <c r="AG55" s="777"/>
      <c r="AH55" s="777"/>
      <c r="AI55" s="777"/>
      <c r="AJ55" s="777"/>
      <c r="AK55" s="777"/>
      <c r="AL55" s="777"/>
      <c r="AM55" s="796"/>
    </row>
    <row r="56" spans="1:39" ht="22.8">
      <c r="A56" s="788" t="s">
        <v>102</v>
      </c>
      <c r="B56" s="781"/>
      <c r="C56" s="781" t="s">
        <v>1601</v>
      </c>
      <c r="D56" s="781"/>
      <c r="E56" s="781"/>
      <c r="F56" s="781"/>
      <c r="G56" s="781"/>
      <c r="H56" s="781"/>
      <c r="I56" s="781"/>
      <c r="J56" s="781"/>
      <c r="K56" s="781"/>
      <c r="L56" s="790" t="s">
        <v>378</v>
      </c>
      <c r="M56" s="804" t="s">
        <v>1138</v>
      </c>
      <c r="N56" s="746" t="s">
        <v>311</v>
      </c>
      <c r="O56" s="798"/>
      <c r="P56" s="798"/>
      <c r="Q56" s="798"/>
      <c r="R56" s="798"/>
      <c r="S56" s="798"/>
      <c r="T56" s="798"/>
      <c r="U56" s="798"/>
      <c r="V56" s="798"/>
      <c r="W56" s="798"/>
      <c r="X56" s="798"/>
      <c r="Y56" s="798"/>
      <c r="Z56" s="798"/>
      <c r="AA56" s="798"/>
      <c r="AB56" s="798"/>
      <c r="AC56" s="798"/>
      <c r="AD56" s="798"/>
      <c r="AE56" s="798"/>
      <c r="AF56" s="798"/>
      <c r="AG56" s="798"/>
      <c r="AH56" s="798"/>
      <c r="AI56" s="798"/>
      <c r="AJ56" s="798"/>
      <c r="AK56" s="798"/>
      <c r="AL56" s="798"/>
      <c r="AM56" s="796"/>
    </row>
    <row r="57" spans="1:39">
      <c r="A57" s="781"/>
      <c r="B57" s="781"/>
      <c r="C57" s="781"/>
      <c r="D57" s="781"/>
      <c r="E57" s="781"/>
      <c r="F57" s="781"/>
      <c r="G57" s="610" t="b">
        <v>1</v>
      </c>
      <c r="H57" s="781"/>
      <c r="I57" s="781"/>
      <c r="J57" s="781"/>
      <c r="K57" s="781"/>
      <c r="L57" s="751"/>
      <c r="M57" s="751"/>
      <c r="N57" s="751"/>
      <c r="O57" s="781"/>
      <c r="P57" s="781"/>
      <c r="Q57" s="781"/>
      <c r="R57" s="781"/>
      <c r="S57" s="781"/>
      <c r="T57" s="781"/>
      <c r="U57" s="781"/>
      <c r="V57" s="781"/>
      <c r="W57" s="781"/>
      <c r="X57" s="781"/>
      <c r="Y57" s="781"/>
      <c r="Z57" s="781"/>
      <c r="AA57" s="781"/>
      <c r="AB57" s="781"/>
      <c r="AC57" s="781"/>
      <c r="AD57" s="781"/>
      <c r="AE57" s="781"/>
      <c r="AF57" s="781"/>
      <c r="AG57" s="781"/>
      <c r="AH57" s="781"/>
      <c r="AI57" s="781"/>
      <c r="AJ57" s="781"/>
      <c r="AK57" s="781"/>
      <c r="AL57" s="781"/>
      <c r="AM57" s="751"/>
    </row>
    <row r="58" spans="1:39" ht="15" customHeight="1">
      <c r="A58" s="781"/>
      <c r="B58" s="781"/>
      <c r="C58" s="781"/>
      <c r="D58" s="781"/>
      <c r="E58" s="781"/>
      <c r="F58" s="781"/>
      <c r="G58" s="610"/>
      <c r="H58" s="781"/>
      <c r="I58" s="781"/>
      <c r="J58" s="781"/>
      <c r="K58" s="781"/>
      <c r="L58" s="1115" t="s">
        <v>1367</v>
      </c>
      <c r="M58" s="1115"/>
      <c r="N58" s="1115"/>
      <c r="O58" s="1116"/>
      <c r="P58" s="1116"/>
      <c r="Q58" s="1116"/>
      <c r="R58" s="1116"/>
      <c r="S58" s="1116"/>
      <c r="T58" s="1116"/>
      <c r="U58" s="1116"/>
      <c r="V58" s="1116"/>
      <c r="W58" s="1116"/>
      <c r="X58" s="1116"/>
      <c r="Y58" s="1116"/>
      <c r="Z58" s="1116"/>
      <c r="AA58" s="1116"/>
      <c r="AB58" s="1116"/>
      <c r="AC58" s="1116"/>
      <c r="AD58" s="1116"/>
      <c r="AE58" s="1116"/>
      <c r="AF58" s="1116"/>
      <c r="AG58" s="1116"/>
      <c r="AH58" s="1116"/>
      <c r="AI58" s="1116"/>
      <c r="AJ58" s="1116"/>
      <c r="AK58" s="1116"/>
      <c r="AL58" s="1116"/>
      <c r="AM58" s="1116"/>
    </row>
    <row r="59" spans="1:39" ht="15" customHeight="1">
      <c r="A59" s="781"/>
      <c r="B59" s="781"/>
      <c r="C59" s="781"/>
      <c r="D59" s="781"/>
      <c r="E59" s="781"/>
      <c r="F59" s="781"/>
      <c r="G59" s="610"/>
      <c r="H59" s="781"/>
      <c r="I59" s="781"/>
      <c r="J59" s="781"/>
      <c r="K59" s="662"/>
      <c r="L59" s="1117" t="s">
        <v>2947</v>
      </c>
      <c r="M59" s="1118"/>
      <c r="N59" s="1118"/>
      <c r="O59" s="1118"/>
      <c r="P59" s="1118"/>
      <c r="Q59" s="1118"/>
      <c r="R59" s="1118"/>
      <c r="S59" s="1118"/>
      <c r="T59" s="1118"/>
      <c r="U59" s="1118"/>
      <c r="V59" s="1118"/>
      <c r="W59" s="1118"/>
      <c r="X59" s="1118"/>
      <c r="Y59" s="1118"/>
      <c r="Z59" s="1118"/>
      <c r="AA59" s="1118"/>
      <c r="AB59" s="1118"/>
      <c r="AC59" s="1118"/>
      <c r="AD59" s="1118"/>
      <c r="AE59" s="1118"/>
      <c r="AF59" s="1118"/>
      <c r="AG59" s="1118"/>
      <c r="AH59" s="1118"/>
      <c r="AI59" s="1118"/>
      <c r="AJ59" s="1118"/>
      <c r="AK59" s="1118"/>
      <c r="AL59" s="1118"/>
      <c r="AM59" s="1119"/>
    </row>
    <row r="60" spans="1:39" ht="15" customHeight="1">
      <c r="A60" s="781"/>
      <c r="B60" s="781"/>
      <c r="C60" s="781"/>
      <c r="D60" s="781"/>
      <c r="E60" s="781"/>
      <c r="F60" s="781"/>
      <c r="G60" s="610"/>
      <c r="H60" s="781"/>
      <c r="I60" s="781"/>
      <c r="J60" s="781"/>
      <c r="K60" s="662" t="s">
        <v>3055</v>
      </c>
      <c r="L60" s="1121" t="s">
        <v>2948</v>
      </c>
      <c r="M60" s="1118"/>
      <c r="N60" s="1118"/>
      <c r="O60" s="1118"/>
      <c r="P60" s="1118"/>
      <c r="Q60" s="1118"/>
      <c r="R60" s="1118"/>
      <c r="S60" s="1118"/>
      <c r="T60" s="1118"/>
      <c r="U60" s="1118"/>
      <c r="V60" s="1118"/>
      <c r="W60" s="1118"/>
      <c r="X60" s="1118"/>
      <c r="Y60" s="1118"/>
      <c r="Z60" s="1118"/>
      <c r="AA60" s="1118"/>
      <c r="AB60" s="1118"/>
      <c r="AC60" s="1118"/>
      <c r="AD60" s="1118"/>
      <c r="AE60" s="1118"/>
      <c r="AF60" s="1118"/>
      <c r="AG60" s="1118"/>
      <c r="AH60" s="1118"/>
      <c r="AI60" s="1118"/>
      <c r="AJ60" s="1118"/>
      <c r="AK60" s="1118"/>
      <c r="AL60" s="1118"/>
      <c r="AM60" s="1119"/>
    </row>
  </sheetData>
  <sheetProtection formatColumns="0" formatRows="0" autoFilter="0"/>
  <mergeCells count="23">
    <mergeCell ref="L60:AM60"/>
    <mergeCell ref="L14:AM14"/>
    <mergeCell ref="N15:N16"/>
    <mergeCell ref="AM15:AM16"/>
    <mergeCell ref="L15:L16"/>
    <mergeCell ref="M15:M16"/>
    <mergeCell ref="L18:AM18"/>
    <mergeCell ref="N19:N20"/>
    <mergeCell ref="AM19:AM20"/>
    <mergeCell ref="L19:L20"/>
    <mergeCell ref="M19:M20"/>
    <mergeCell ref="L58:AM58"/>
    <mergeCell ref="L59:AM59"/>
    <mergeCell ref="AM27:AM28"/>
    <mergeCell ref="L26:AM26"/>
    <mergeCell ref="N27:N28"/>
    <mergeCell ref="L27:L28"/>
    <mergeCell ref="M27:M28"/>
    <mergeCell ref="L22:AM22"/>
    <mergeCell ref="AM23:AM24"/>
    <mergeCell ref="N23:N24"/>
    <mergeCell ref="L23:L24"/>
    <mergeCell ref="M23:M24"/>
  </mergeCells>
  <dataValidations count="1">
    <dataValidation type="decimal" allowBlank="1" showErrorMessage="1" errorTitle="Ошибка" error="Допускается ввод только неотрицательных чисел!" sqref="O34:AL36 O31:AL32 O38:AL38 O40:AL42 O54:AL56 O45:AL46 O52:AL52 O48:AL50">
      <formula1>0</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75" firstPageNumber="8" fitToWidth="0" fitToHeight="0" orientation="landscape" r:id="rId1"/>
  <headerFooter>
    <oddFooter>&amp;C&amp;A
&amp;P из &amp;N</oddFooter>
    <firstFooter>&amp;C&amp;P</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AM24"/>
  <sheetViews>
    <sheetView showGridLines="0" view="pageBreakPreview" zoomScaleNormal="100" zoomScaleSheetLayoutView="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25" defaultRowHeight="11.4"/>
  <cols>
    <col min="1" max="10" width="2.75" style="86" hidden="1" customWidth="1"/>
    <col min="11" max="11" width="3.75" style="86" hidden="1" customWidth="1"/>
    <col min="12" max="12" width="5.75" style="86" customWidth="1"/>
    <col min="13" max="13" width="20.75" style="86" customWidth="1"/>
    <col min="14" max="14" width="9.25" style="86" customWidth="1"/>
    <col min="15" max="19" width="13.25" style="86" customWidth="1"/>
    <col min="20" max="28" width="13.25" style="86" hidden="1" customWidth="1"/>
    <col min="29" max="29" width="13.25" style="86" customWidth="1"/>
    <col min="30" max="38" width="13.25" style="86" hidden="1" customWidth="1"/>
    <col min="39" max="39" width="20.75" style="86" customWidth="1"/>
    <col min="40" max="16384" width="9.125" style="86"/>
  </cols>
  <sheetData>
    <row r="1" spans="1:39" hidden="1">
      <c r="A1" s="781"/>
      <c r="B1" s="781"/>
      <c r="C1" s="781"/>
      <c r="D1" s="781"/>
      <c r="E1" s="781"/>
      <c r="F1" s="781"/>
      <c r="G1" s="781"/>
      <c r="H1" s="781"/>
      <c r="I1" s="781"/>
      <c r="J1" s="781"/>
      <c r="K1" s="781"/>
      <c r="L1" s="781"/>
      <c r="M1" s="781"/>
      <c r="N1" s="781"/>
      <c r="O1" s="781">
        <v>2022</v>
      </c>
      <c r="P1" s="781">
        <v>2022</v>
      </c>
      <c r="Q1" s="781">
        <v>2022</v>
      </c>
      <c r="R1" s="781">
        <v>2023</v>
      </c>
      <c r="S1" s="781">
        <v>2024</v>
      </c>
      <c r="T1" s="781">
        <v>2025</v>
      </c>
      <c r="U1" s="781">
        <v>2026</v>
      </c>
      <c r="V1" s="781">
        <v>2027</v>
      </c>
      <c r="W1" s="781">
        <v>2028</v>
      </c>
      <c r="X1" s="781">
        <v>2029</v>
      </c>
      <c r="Y1" s="781">
        <v>2030</v>
      </c>
      <c r="Z1" s="781">
        <v>2031</v>
      </c>
      <c r="AA1" s="781">
        <v>2032</v>
      </c>
      <c r="AB1" s="781">
        <v>2033</v>
      </c>
      <c r="AC1" s="781">
        <v>2024</v>
      </c>
      <c r="AD1" s="781">
        <v>2025</v>
      </c>
      <c r="AE1" s="781">
        <v>2026</v>
      </c>
      <c r="AF1" s="781">
        <v>2027</v>
      </c>
      <c r="AG1" s="781">
        <v>2028</v>
      </c>
      <c r="AH1" s="781">
        <v>2029</v>
      </c>
      <c r="AI1" s="781">
        <v>2030</v>
      </c>
      <c r="AJ1" s="781">
        <v>2031</v>
      </c>
      <c r="AK1" s="781">
        <v>2032</v>
      </c>
      <c r="AL1" s="781">
        <v>2033</v>
      </c>
      <c r="AM1" s="781"/>
    </row>
    <row r="2" spans="1:39" hidden="1">
      <c r="A2" s="781"/>
      <c r="B2" s="781"/>
      <c r="C2" s="781"/>
      <c r="D2" s="781"/>
      <c r="E2" s="781"/>
      <c r="F2" s="781"/>
      <c r="G2" s="781"/>
      <c r="H2" s="781"/>
      <c r="I2" s="781"/>
      <c r="J2" s="781"/>
      <c r="K2" s="781"/>
      <c r="L2" s="781"/>
      <c r="M2" s="781"/>
      <c r="N2" s="781"/>
      <c r="O2" s="781" t="s">
        <v>268</v>
      </c>
      <c r="P2" s="781" t="s">
        <v>306</v>
      </c>
      <c r="Q2" s="781" t="s">
        <v>286</v>
      </c>
      <c r="R2" s="781" t="s">
        <v>268</v>
      </c>
      <c r="S2" s="781" t="s">
        <v>269</v>
      </c>
      <c r="T2" s="781" t="s">
        <v>269</v>
      </c>
      <c r="U2" s="781" t="s">
        <v>269</v>
      </c>
      <c r="V2" s="781" t="s">
        <v>269</v>
      </c>
      <c r="W2" s="781" t="s">
        <v>269</v>
      </c>
      <c r="X2" s="781" t="s">
        <v>269</v>
      </c>
      <c r="Y2" s="781" t="s">
        <v>269</v>
      </c>
      <c r="Z2" s="781" t="s">
        <v>269</v>
      </c>
      <c r="AA2" s="781" t="s">
        <v>269</v>
      </c>
      <c r="AB2" s="781" t="s">
        <v>269</v>
      </c>
      <c r="AC2" s="781" t="s">
        <v>268</v>
      </c>
      <c r="AD2" s="781" t="s">
        <v>268</v>
      </c>
      <c r="AE2" s="781" t="s">
        <v>268</v>
      </c>
      <c r="AF2" s="781" t="s">
        <v>268</v>
      </c>
      <c r="AG2" s="781" t="s">
        <v>268</v>
      </c>
      <c r="AH2" s="781" t="s">
        <v>268</v>
      </c>
      <c r="AI2" s="781" t="s">
        <v>268</v>
      </c>
      <c r="AJ2" s="781" t="s">
        <v>268</v>
      </c>
      <c r="AK2" s="781" t="s">
        <v>268</v>
      </c>
      <c r="AL2" s="781" t="s">
        <v>268</v>
      </c>
      <c r="AM2" s="781"/>
    </row>
    <row r="3" spans="1:39" hidden="1">
      <c r="A3" s="781"/>
      <c r="B3" s="781"/>
      <c r="C3" s="781"/>
      <c r="D3" s="781"/>
      <c r="E3" s="781"/>
      <c r="F3" s="781"/>
      <c r="G3" s="781"/>
      <c r="H3" s="781"/>
      <c r="I3" s="781"/>
      <c r="J3" s="781"/>
      <c r="K3" s="781"/>
      <c r="L3" s="781"/>
      <c r="M3" s="781"/>
      <c r="N3" s="781"/>
      <c r="O3" s="781"/>
      <c r="P3" s="781"/>
      <c r="Q3" s="781"/>
      <c r="R3" s="781"/>
      <c r="S3" s="781"/>
      <c r="T3" s="781"/>
      <c r="U3" s="781"/>
      <c r="V3" s="781"/>
      <c r="W3" s="781"/>
      <c r="X3" s="781"/>
      <c r="Y3" s="781"/>
      <c r="Z3" s="781"/>
      <c r="AA3" s="781"/>
      <c r="AB3" s="781"/>
      <c r="AC3" s="781"/>
      <c r="AD3" s="781"/>
      <c r="AE3" s="781"/>
      <c r="AF3" s="781"/>
      <c r="AG3" s="781"/>
      <c r="AH3" s="781"/>
      <c r="AI3" s="781"/>
      <c r="AJ3" s="781"/>
      <c r="AK3" s="781"/>
      <c r="AL3" s="781"/>
      <c r="AM3" s="781"/>
    </row>
    <row r="4" spans="1:39" hidden="1">
      <c r="A4" s="781"/>
      <c r="B4" s="781"/>
      <c r="C4" s="781"/>
      <c r="D4" s="781"/>
      <c r="E4" s="781"/>
      <c r="F4" s="781"/>
      <c r="G4" s="781"/>
      <c r="H4" s="781"/>
      <c r="I4" s="781"/>
      <c r="J4" s="781"/>
      <c r="K4" s="781"/>
      <c r="L4" s="781"/>
      <c r="M4" s="781"/>
      <c r="N4" s="781"/>
      <c r="O4" s="781"/>
      <c r="P4" s="781"/>
      <c r="Q4" s="781"/>
      <c r="R4" s="781"/>
      <c r="S4" s="781"/>
      <c r="T4" s="781"/>
      <c r="U4" s="781"/>
      <c r="V4" s="781"/>
      <c r="W4" s="781"/>
      <c r="X4" s="781"/>
      <c r="Y4" s="781"/>
      <c r="Z4" s="781"/>
      <c r="AA4" s="781"/>
      <c r="AB4" s="781"/>
      <c r="AC4" s="781"/>
      <c r="AD4" s="781"/>
      <c r="AE4" s="781"/>
      <c r="AF4" s="781"/>
      <c r="AG4" s="781"/>
      <c r="AH4" s="781"/>
      <c r="AI4" s="781"/>
      <c r="AJ4" s="781"/>
      <c r="AK4" s="781"/>
      <c r="AL4" s="781"/>
      <c r="AM4" s="781"/>
    </row>
    <row r="5" spans="1:39" hidden="1">
      <c r="A5" s="781"/>
      <c r="B5" s="781"/>
      <c r="C5" s="781"/>
      <c r="D5" s="781"/>
      <c r="E5" s="781"/>
      <c r="F5" s="781"/>
      <c r="G5" s="781"/>
      <c r="H5" s="781"/>
      <c r="I5" s="781"/>
      <c r="J5" s="781"/>
      <c r="K5" s="781"/>
      <c r="L5" s="781"/>
      <c r="M5" s="781"/>
      <c r="N5" s="781"/>
      <c r="O5" s="781"/>
      <c r="P5" s="781"/>
      <c r="Q5" s="781"/>
      <c r="R5" s="781"/>
      <c r="S5" s="781"/>
      <c r="T5" s="781"/>
      <c r="U5" s="781"/>
      <c r="V5" s="781"/>
      <c r="W5" s="781"/>
      <c r="X5" s="781"/>
      <c r="Y5" s="781"/>
      <c r="Z5" s="781"/>
      <c r="AA5" s="781"/>
      <c r="AB5" s="781"/>
      <c r="AC5" s="781"/>
      <c r="AD5" s="781"/>
      <c r="AE5" s="781"/>
      <c r="AF5" s="781"/>
      <c r="AG5" s="781"/>
      <c r="AH5" s="781"/>
      <c r="AI5" s="781"/>
      <c r="AJ5" s="781"/>
      <c r="AK5" s="781"/>
      <c r="AL5" s="781"/>
      <c r="AM5" s="781"/>
    </row>
    <row r="6" spans="1:39" hidden="1">
      <c r="A6" s="781"/>
      <c r="B6" s="781"/>
      <c r="C6" s="781"/>
      <c r="D6" s="781"/>
      <c r="E6" s="781"/>
      <c r="F6" s="781"/>
      <c r="G6" s="781"/>
      <c r="H6" s="781"/>
      <c r="I6" s="781"/>
      <c r="J6" s="781"/>
      <c r="K6" s="781"/>
      <c r="L6" s="781"/>
      <c r="M6" s="781"/>
      <c r="N6" s="781"/>
      <c r="O6" s="781"/>
      <c r="P6" s="781"/>
      <c r="Q6" s="781"/>
      <c r="R6" s="781"/>
      <c r="S6" s="781"/>
      <c r="T6" s="781"/>
      <c r="U6" s="781"/>
      <c r="V6" s="781"/>
      <c r="W6" s="781"/>
      <c r="X6" s="781"/>
      <c r="Y6" s="781"/>
      <c r="Z6" s="781"/>
      <c r="AA6" s="781"/>
      <c r="AB6" s="781"/>
      <c r="AC6" s="781"/>
      <c r="AD6" s="781"/>
      <c r="AE6" s="781"/>
      <c r="AF6" s="781"/>
      <c r="AG6" s="781"/>
      <c r="AH6" s="781"/>
      <c r="AI6" s="781"/>
      <c r="AJ6" s="781"/>
      <c r="AK6" s="781"/>
      <c r="AL6" s="781"/>
      <c r="AM6" s="781"/>
    </row>
    <row r="7" spans="1:39" hidden="1">
      <c r="A7" s="781"/>
      <c r="B7" s="781"/>
      <c r="C7" s="781"/>
      <c r="D7" s="781"/>
      <c r="E7" s="781"/>
      <c r="F7" s="781"/>
      <c r="G7" s="781"/>
      <c r="H7" s="781"/>
      <c r="I7" s="781"/>
      <c r="J7" s="781"/>
      <c r="K7" s="781"/>
      <c r="L7" s="781"/>
      <c r="M7" s="781"/>
      <c r="N7" s="781"/>
      <c r="O7" s="781"/>
      <c r="P7" s="781"/>
      <c r="Q7" s="781"/>
      <c r="R7" s="781"/>
      <c r="S7" s="731" t="b">
        <v>1</v>
      </c>
      <c r="T7" s="731" t="b">
        <v>0</v>
      </c>
      <c r="U7" s="731" t="b">
        <v>0</v>
      </c>
      <c r="V7" s="731" t="b">
        <v>0</v>
      </c>
      <c r="W7" s="731" t="b">
        <v>0</v>
      </c>
      <c r="X7" s="731" t="b">
        <v>0</v>
      </c>
      <c r="Y7" s="731" t="b">
        <v>0</v>
      </c>
      <c r="Z7" s="731" t="b">
        <v>0</v>
      </c>
      <c r="AA7" s="731" t="b">
        <v>0</v>
      </c>
      <c r="AB7" s="731" t="b">
        <v>0</v>
      </c>
      <c r="AC7" s="731" t="b">
        <v>1</v>
      </c>
      <c r="AD7" s="731" t="b">
        <v>0</v>
      </c>
      <c r="AE7" s="731" t="b">
        <v>0</v>
      </c>
      <c r="AF7" s="731" t="b">
        <v>0</v>
      </c>
      <c r="AG7" s="731" t="b">
        <v>0</v>
      </c>
      <c r="AH7" s="731" t="b">
        <v>0</v>
      </c>
      <c r="AI7" s="731" t="b">
        <v>0</v>
      </c>
      <c r="AJ7" s="731" t="b">
        <v>0</v>
      </c>
      <c r="AK7" s="731" t="b">
        <v>0</v>
      </c>
      <c r="AL7" s="731" t="b">
        <v>0</v>
      </c>
      <c r="AM7" s="781"/>
    </row>
    <row r="8" spans="1:39" hidden="1">
      <c r="A8" s="781"/>
      <c r="B8" s="781"/>
      <c r="C8" s="781"/>
      <c r="D8" s="781"/>
      <c r="E8" s="781"/>
      <c r="F8" s="781"/>
      <c r="G8" s="781"/>
      <c r="H8" s="781"/>
      <c r="I8" s="781"/>
      <c r="J8" s="781"/>
      <c r="K8" s="781"/>
      <c r="L8" s="781"/>
      <c r="M8" s="781"/>
      <c r="N8" s="781"/>
      <c r="O8" s="781"/>
      <c r="P8" s="781"/>
      <c r="Q8" s="781"/>
      <c r="R8" s="781"/>
      <c r="S8" s="781"/>
      <c r="T8" s="781"/>
      <c r="U8" s="781"/>
      <c r="V8" s="781"/>
      <c r="W8" s="781"/>
      <c r="X8" s="781"/>
      <c r="Y8" s="781"/>
      <c r="Z8" s="781"/>
      <c r="AA8" s="781"/>
      <c r="AB8" s="781"/>
      <c r="AC8" s="781"/>
      <c r="AD8" s="781"/>
      <c r="AE8" s="781"/>
      <c r="AF8" s="781"/>
      <c r="AG8" s="781"/>
      <c r="AH8" s="781"/>
      <c r="AI8" s="781"/>
      <c r="AJ8" s="781"/>
      <c r="AK8" s="781"/>
      <c r="AL8" s="781"/>
      <c r="AM8" s="781"/>
    </row>
    <row r="9" spans="1:39" hidden="1">
      <c r="A9" s="781"/>
      <c r="B9" s="781"/>
      <c r="C9" s="781"/>
      <c r="D9" s="781"/>
      <c r="E9" s="781"/>
      <c r="F9" s="781"/>
      <c r="G9" s="781"/>
      <c r="H9" s="781"/>
      <c r="I9" s="781"/>
      <c r="J9" s="781"/>
      <c r="K9" s="781"/>
      <c r="L9" s="781"/>
      <c r="M9" s="781"/>
      <c r="N9" s="781"/>
      <c r="O9" s="781"/>
      <c r="P9" s="781"/>
      <c r="Q9" s="781"/>
      <c r="R9" s="781"/>
      <c r="S9" s="781"/>
      <c r="T9" s="781"/>
      <c r="U9" s="781"/>
      <c r="V9" s="781"/>
      <c r="W9" s="781"/>
      <c r="X9" s="781"/>
      <c r="Y9" s="781"/>
      <c r="Z9" s="781"/>
      <c r="AA9" s="781"/>
      <c r="AB9" s="781"/>
      <c r="AC9" s="781"/>
      <c r="AD9" s="781"/>
      <c r="AE9" s="781"/>
      <c r="AF9" s="781"/>
      <c r="AG9" s="781"/>
      <c r="AH9" s="781"/>
      <c r="AI9" s="781"/>
      <c r="AJ9" s="781"/>
      <c r="AK9" s="781"/>
      <c r="AL9" s="781"/>
      <c r="AM9" s="781"/>
    </row>
    <row r="10" spans="1:39" hidden="1">
      <c r="A10" s="781"/>
      <c r="B10" s="781"/>
      <c r="C10" s="781"/>
      <c r="D10" s="781"/>
      <c r="E10" s="781"/>
      <c r="F10" s="781"/>
      <c r="G10" s="781"/>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row>
    <row r="11" spans="1:39" ht="15" hidden="1" customHeight="1">
      <c r="A11" s="781"/>
      <c r="B11" s="781"/>
      <c r="C11" s="781"/>
      <c r="D11" s="781"/>
      <c r="E11" s="781"/>
      <c r="F11" s="781"/>
      <c r="G11" s="781"/>
      <c r="H11" s="781"/>
      <c r="I11" s="781"/>
      <c r="J11" s="781"/>
      <c r="K11" s="781"/>
      <c r="L11" s="781"/>
      <c r="M11" s="737"/>
      <c r="N11" s="781"/>
      <c r="O11" s="781"/>
      <c r="P11" s="781"/>
      <c r="Q11" s="781"/>
      <c r="R11" s="781"/>
      <c r="S11" s="781"/>
      <c r="T11" s="781"/>
      <c r="U11" s="781"/>
      <c r="V11" s="781"/>
      <c r="W11" s="781"/>
      <c r="X11" s="781"/>
      <c r="Y11" s="781"/>
      <c r="Z11" s="781"/>
      <c r="AA11" s="781"/>
      <c r="AB11" s="781"/>
      <c r="AC11" s="781"/>
      <c r="AD11" s="781"/>
      <c r="AE11" s="781"/>
      <c r="AF11" s="781"/>
      <c r="AG11" s="781"/>
      <c r="AH11" s="781"/>
      <c r="AI11" s="781"/>
      <c r="AJ11" s="781"/>
      <c r="AK11" s="781"/>
      <c r="AL11" s="781"/>
      <c r="AM11" s="781"/>
    </row>
    <row r="12" spans="1:39" s="87" customFormat="1" ht="15" customHeight="1">
      <c r="A12" s="610"/>
      <c r="B12" s="610"/>
      <c r="C12" s="610"/>
      <c r="D12" s="610"/>
      <c r="E12" s="610"/>
      <c r="F12" s="610"/>
      <c r="G12" s="610"/>
      <c r="H12" s="610"/>
      <c r="I12" s="610"/>
      <c r="J12" s="610"/>
      <c r="K12" s="610"/>
      <c r="L12" s="417" t="s">
        <v>1244</v>
      </c>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row>
    <row r="13" spans="1:39" s="180" customFormat="1">
      <c r="L13" s="181"/>
      <c r="M13" s="181"/>
      <c r="N13" s="181"/>
      <c r="O13" s="182"/>
      <c r="P13" s="182"/>
      <c r="Q13" s="182"/>
      <c r="R13" s="182"/>
      <c r="S13" s="181"/>
      <c r="T13" s="181"/>
      <c r="U13" s="181"/>
      <c r="V13" s="181"/>
      <c r="W13" s="181"/>
      <c r="X13" s="181"/>
      <c r="Y13" s="181"/>
      <c r="Z13" s="181"/>
      <c r="AA13" s="181"/>
      <c r="AB13" s="181"/>
      <c r="AC13" s="181"/>
      <c r="AD13" s="181"/>
      <c r="AE13" s="181"/>
      <c r="AF13" s="181"/>
      <c r="AG13" s="181"/>
      <c r="AH13" s="181"/>
      <c r="AI13" s="181"/>
      <c r="AJ13" s="181"/>
      <c r="AK13" s="181"/>
      <c r="AL13" s="181"/>
      <c r="AM13" s="181"/>
    </row>
    <row r="14" spans="1:39" s="88" customFormat="1" ht="15" customHeight="1">
      <c r="A14" s="751"/>
      <c r="B14" s="751"/>
      <c r="C14" s="751"/>
      <c r="D14" s="751"/>
      <c r="E14" s="751"/>
      <c r="F14" s="751"/>
      <c r="G14" s="751"/>
      <c r="H14" s="751"/>
      <c r="I14" s="751"/>
      <c r="J14" s="751"/>
      <c r="K14" s="751"/>
      <c r="L14" s="1126" t="s">
        <v>16</v>
      </c>
      <c r="M14" s="1126" t="s">
        <v>121</v>
      </c>
      <c r="N14" s="1126" t="s">
        <v>135</v>
      </c>
      <c r="O14" s="782" t="s">
        <v>3010</v>
      </c>
      <c r="P14" s="782" t="s">
        <v>3010</v>
      </c>
      <c r="Q14" s="782" t="s">
        <v>3010</v>
      </c>
      <c r="R14" s="783" t="s">
        <v>3011</v>
      </c>
      <c r="S14" s="747" t="s">
        <v>3012</v>
      </c>
      <c r="T14" s="747" t="s">
        <v>3046</v>
      </c>
      <c r="U14" s="747" t="s">
        <v>3047</v>
      </c>
      <c r="V14" s="747" t="s">
        <v>3048</v>
      </c>
      <c r="W14" s="747" t="s">
        <v>3049</v>
      </c>
      <c r="X14" s="747" t="s">
        <v>3050</v>
      </c>
      <c r="Y14" s="747" t="s">
        <v>3051</v>
      </c>
      <c r="Z14" s="747" t="s">
        <v>3052</v>
      </c>
      <c r="AA14" s="747" t="s">
        <v>3053</v>
      </c>
      <c r="AB14" s="747" t="s">
        <v>3054</v>
      </c>
      <c r="AC14" s="747" t="s">
        <v>3012</v>
      </c>
      <c r="AD14" s="747" t="s">
        <v>3046</v>
      </c>
      <c r="AE14" s="747" t="s">
        <v>3047</v>
      </c>
      <c r="AF14" s="747" t="s">
        <v>3048</v>
      </c>
      <c r="AG14" s="747" t="s">
        <v>3049</v>
      </c>
      <c r="AH14" s="747" t="s">
        <v>3050</v>
      </c>
      <c r="AI14" s="747" t="s">
        <v>3051</v>
      </c>
      <c r="AJ14" s="747" t="s">
        <v>3052</v>
      </c>
      <c r="AK14" s="747" t="s">
        <v>3053</v>
      </c>
      <c r="AL14" s="747" t="s">
        <v>3054</v>
      </c>
      <c r="AM14" s="1111" t="s">
        <v>305</v>
      </c>
    </row>
    <row r="15" spans="1:39" s="88" customFormat="1" ht="50.1" customHeight="1">
      <c r="A15" s="751" t="s">
        <v>1127</v>
      </c>
      <c r="B15" s="751"/>
      <c r="C15" s="751"/>
      <c r="D15" s="751"/>
      <c r="E15" s="751"/>
      <c r="F15" s="751"/>
      <c r="G15" s="751"/>
      <c r="H15" s="751"/>
      <c r="I15" s="751"/>
      <c r="J15" s="751"/>
      <c r="K15" s="751"/>
      <c r="L15" s="1126"/>
      <c r="M15" s="1126"/>
      <c r="N15" s="1126"/>
      <c r="O15" s="747" t="s">
        <v>268</v>
      </c>
      <c r="P15" s="747" t="s">
        <v>306</v>
      </c>
      <c r="Q15" s="747" t="s">
        <v>286</v>
      </c>
      <c r="R15" s="747" t="s">
        <v>268</v>
      </c>
      <c r="S15" s="784" t="s">
        <v>269</v>
      </c>
      <c r="T15" s="784" t="s">
        <v>269</v>
      </c>
      <c r="U15" s="784" t="s">
        <v>269</v>
      </c>
      <c r="V15" s="784" t="s">
        <v>269</v>
      </c>
      <c r="W15" s="784" t="s">
        <v>269</v>
      </c>
      <c r="X15" s="784" t="s">
        <v>269</v>
      </c>
      <c r="Y15" s="784" t="s">
        <v>269</v>
      </c>
      <c r="Z15" s="784" t="s">
        <v>269</v>
      </c>
      <c r="AA15" s="784" t="s">
        <v>269</v>
      </c>
      <c r="AB15" s="784" t="s">
        <v>269</v>
      </c>
      <c r="AC15" s="784" t="s">
        <v>268</v>
      </c>
      <c r="AD15" s="784" t="s">
        <v>268</v>
      </c>
      <c r="AE15" s="784" t="s">
        <v>268</v>
      </c>
      <c r="AF15" s="784" t="s">
        <v>268</v>
      </c>
      <c r="AG15" s="784" t="s">
        <v>268</v>
      </c>
      <c r="AH15" s="784" t="s">
        <v>268</v>
      </c>
      <c r="AI15" s="784" t="s">
        <v>268</v>
      </c>
      <c r="AJ15" s="784" t="s">
        <v>268</v>
      </c>
      <c r="AK15" s="784" t="s">
        <v>268</v>
      </c>
      <c r="AL15" s="784" t="s">
        <v>268</v>
      </c>
      <c r="AM15" s="1111"/>
    </row>
    <row r="16" spans="1:39" s="88" customFormat="1">
      <c r="A16" s="788" t="s">
        <v>18</v>
      </c>
      <c r="B16" s="751"/>
      <c r="C16" s="751"/>
      <c r="D16" s="751"/>
      <c r="E16" s="751"/>
      <c r="F16" s="751"/>
      <c r="G16" s="751"/>
      <c r="H16" s="751"/>
      <c r="I16" s="751"/>
      <c r="J16" s="751"/>
      <c r="K16" s="751"/>
      <c r="L16" s="687" t="s">
        <v>3005</v>
      </c>
      <c r="M16" s="708"/>
      <c r="N16" s="688"/>
      <c r="O16" s="688"/>
      <c r="P16" s="688"/>
      <c r="Q16" s="688"/>
      <c r="R16" s="688"/>
      <c r="S16" s="688"/>
      <c r="T16" s="688"/>
      <c r="U16" s="688"/>
      <c r="V16" s="688"/>
      <c r="W16" s="688"/>
      <c r="X16" s="688"/>
      <c r="Y16" s="688"/>
      <c r="Z16" s="688"/>
      <c r="AA16" s="688"/>
      <c r="AB16" s="688"/>
      <c r="AC16" s="688"/>
      <c r="AD16" s="688"/>
      <c r="AE16" s="688"/>
      <c r="AF16" s="688"/>
      <c r="AG16" s="688"/>
      <c r="AH16" s="688"/>
      <c r="AI16" s="688"/>
      <c r="AJ16" s="688"/>
      <c r="AK16" s="688"/>
      <c r="AL16" s="688"/>
      <c r="AM16" s="688"/>
    </row>
    <row r="17" spans="1:39" s="90" customFormat="1">
      <c r="A17" s="805" t="s">
        <v>18</v>
      </c>
      <c r="B17" s="806" t="s">
        <v>1406</v>
      </c>
      <c r="C17" s="806" t="s">
        <v>1438</v>
      </c>
      <c r="D17" s="806"/>
      <c r="E17" s="806"/>
      <c r="F17" s="806"/>
      <c r="G17" s="806"/>
      <c r="H17" s="806"/>
      <c r="I17" s="806"/>
      <c r="J17" s="806"/>
      <c r="K17" s="806"/>
      <c r="L17" s="807"/>
      <c r="M17" s="175" t="s">
        <v>1028</v>
      </c>
      <c r="N17" s="158" t="s">
        <v>352</v>
      </c>
      <c r="O17" s="808">
        <v>0</v>
      </c>
      <c r="P17" s="808">
        <v>0</v>
      </c>
      <c r="Q17" s="808">
        <v>0</v>
      </c>
      <c r="R17" s="808">
        <v>0</v>
      </c>
      <c r="S17" s="808">
        <v>0</v>
      </c>
      <c r="T17" s="808">
        <v>0</v>
      </c>
      <c r="U17" s="808">
        <v>0</v>
      </c>
      <c r="V17" s="808">
        <v>0</v>
      </c>
      <c r="W17" s="808">
        <v>0</v>
      </c>
      <c r="X17" s="808">
        <v>0</v>
      </c>
      <c r="Y17" s="808">
        <v>0</v>
      </c>
      <c r="Z17" s="808">
        <v>0</v>
      </c>
      <c r="AA17" s="808">
        <v>0</v>
      </c>
      <c r="AB17" s="808">
        <v>0</v>
      </c>
      <c r="AC17" s="808">
        <v>0</v>
      </c>
      <c r="AD17" s="808">
        <v>0</v>
      </c>
      <c r="AE17" s="808">
        <v>0</v>
      </c>
      <c r="AF17" s="808">
        <v>0</v>
      </c>
      <c r="AG17" s="808">
        <v>0</v>
      </c>
      <c r="AH17" s="808">
        <v>0</v>
      </c>
      <c r="AI17" s="808">
        <v>0</v>
      </c>
      <c r="AJ17" s="808">
        <v>0</v>
      </c>
      <c r="AK17" s="808">
        <v>0</v>
      </c>
      <c r="AL17" s="808">
        <v>0</v>
      </c>
      <c r="AM17" s="796"/>
    </row>
    <row r="18" spans="1:39" s="90" customFormat="1" ht="0.15" customHeight="1">
      <c r="A18" s="805" t="s">
        <v>18</v>
      </c>
      <c r="B18" s="806"/>
      <c r="C18" s="806"/>
      <c r="D18" s="806"/>
      <c r="E18" s="806"/>
      <c r="F18" s="806"/>
      <c r="G18" s="806"/>
      <c r="H18" s="806"/>
      <c r="I18" s="806"/>
      <c r="J18" s="806"/>
      <c r="K18" s="806"/>
      <c r="L18" s="807" t="s">
        <v>1027</v>
      </c>
      <c r="M18" s="175"/>
      <c r="N18" s="158"/>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8"/>
    </row>
    <row r="19" spans="1:39" s="88" customFormat="1">
      <c r="A19" s="788" t="s">
        <v>102</v>
      </c>
      <c r="B19" s="751"/>
      <c r="C19" s="751"/>
      <c r="D19" s="751"/>
      <c r="E19" s="751"/>
      <c r="F19" s="751"/>
      <c r="G19" s="751"/>
      <c r="H19" s="751"/>
      <c r="I19" s="751"/>
      <c r="J19" s="751"/>
      <c r="K19" s="751"/>
      <c r="L19" s="687" t="s">
        <v>3009</v>
      </c>
      <c r="M19" s="708"/>
      <c r="N19" s="688"/>
      <c r="O19" s="688"/>
      <c r="P19" s="688"/>
      <c r="Q19" s="688"/>
      <c r="R19" s="688"/>
      <c r="S19" s="688"/>
      <c r="T19" s="688"/>
      <c r="U19" s="688"/>
      <c r="V19" s="688"/>
      <c r="W19" s="688"/>
      <c r="X19" s="688"/>
      <c r="Y19" s="688"/>
      <c r="Z19" s="688"/>
      <c r="AA19" s="688"/>
      <c r="AB19" s="688"/>
      <c r="AC19" s="688"/>
      <c r="AD19" s="688"/>
      <c r="AE19" s="688"/>
      <c r="AF19" s="688"/>
      <c r="AG19" s="688"/>
      <c r="AH19" s="688"/>
      <c r="AI19" s="688"/>
      <c r="AJ19" s="688"/>
      <c r="AK19" s="688"/>
      <c r="AL19" s="688"/>
      <c r="AM19" s="688"/>
    </row>
    <row r="20" spans="1:39" s="90" customFormat="1">
      <c r="A20" s="805" t="s">
        <v>102</v>
      </c>
      <c r="B20" s="806" t="s">
        <v>1406</v>
      </c>
      <c r="C20" s="806" t="s">
        <v>1438</v>
      </c>
      <c r="D20" s="806"/>
      <c r="E20" s="806"/>
      <c r="F20" s="806"/>
      <c r="G20" s="806"/>
      <c r="H20" s="806"/>
      <c r="I20" s="806"/>
      <c r="J20" s="806"/>
      <c r="K20" s="806"/>
      <c r="L20" s="807"/>
      <c r="M20" s="175" t="s">
        <v>1028</v>
      </c>
      <c r="N20" s="158" t="s">
        <v>352</v>
      </c>
      <c r="O20" s="808">
        <v>0</v>
      </c>
      <c r="P20" s="808">
        <v>0</v>
      </c>
      <c r="Q20" s="808">
        <v>0</v>
      </c>
      <c r="R20" s="808">
        <v>0</v>
      </c>
      <c r="S20" s="808">
        <v>0</v>
      </c>
      <c r="T20" s="808">
        <v>0</v>
      </c>
      <c r="U20" s="808">
        <v>0</v>
      </c>
      <c r="V20" s="808">
        <v>0</v>
      </c>
      <c r="W20" s="808">
        <v>0</v>
      </c>
      <c r="X20" s="808">
        <v>0</v>
      </c>
      <c r="Y20" s="808">
        <v>0</v>
      </c>
      <c r="Z20" s="808">
        <v>0</v>
      </c>
      <c r="AA20" s="808">
        <v>0</v>
      </c>
      <c r="AB20" s="808">
        <v>0</v>
      </c>
      <c r="AC20" s="808">
        <v>0</v>
      </c>
      <c r="AD20" s="808">
        <v>0</v>
      </c>
      <c r="AE20" s="808">
        <v>0</v>
      </c>
      <c r="AF20" s="808">
        <v>0</v>
      </c>
      <c r="AG20" s="808">
        <v>0</v>
      </c>
      <c r="AH20" s="808">
        <v>0</v>
      </c>
      <c r="AI20" s="808">
        <v>0</v>
      </c>
      <c r="AJ20" s="808">
        <v>0</v>
      </c>
      <c r="AK20" s="808">
        <v>0</v>
      </c>
      <c r="AL20" s="808">
        <v>0</v>
      </c>
      <c r="AM20" s="796"/>
    </row>
    <row r="21" spans="1:39" s="90" customFormat="1" ht="0.15" customHeight="1">
      <c r="A21" s="805" t="s">
        <v>102</v>
      </c>
      <c r="B21" s="806"/>
      <c r="C21" s="806"/>
      <c r="D21" s="806"/>
      <c r="E21" s="806"/>
      <c r="F21" s="806"/>
      <c r="G21" s="806"/>
      <c r="H21" s="806"/>
      <c r="I21" s="806"/>
      <c r="J21" s="806"/>
      <c r="K21" s="806"/>
      <c r="L21" s="807" t="s">
        <v>1027</v>
      </c>
      <c r="M21" s="175"/>
      <c r="N21" s="158"/>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8"/>
    </row>
    <row r="22" spans="1:39">
      <c r="A22" s="781"/>
      <c r="B22" s="781"/>
      <c r="C22" s="781"/>
      <c r="D22" s="781"/>
      <c r="E22" s="781"/>
      <c r="F22" s="781"/>
      <c r="G22" s="781"/>
      <c r="H22" s="781"/>
      <c r="I22" s="781"/>
      <c r="J22" s="781"/>
      <c r="K22" s="781"/>
      <c r="L22" s="781"/>
      <c r="M22" s="781"/>
      <c r="N22" s="781"/>
      <c r="O22" s="781"/>
      <c r="P22" s="781"/>
      <c r="Q22" s="781"/>
      <c r="R22" s="781"/>
      <c r="S22" s="781"/>
      <c r="T22" s="781"/>
      <c r="U22" s="781"/>
      <c r="V22" s="781"/>
      <c r="W22" s="781"/>
      <c r="X22" s="781"/>
      <c r="Y22" s="781"/>
      <c r="Z22" s="781"/>
      <c r="AA22" s="781"/>
      <c r="AB22" s="781"/>
      <c r="AC22" s="781"/>
      <c r="AD22" s="781"/>
      <c r="AE22" s="781"/>
      <c r="AF22" s="781"/>
      <c r="AG22" s="781"/>
      <c r="AH22" s="781"/>
      <c r="AI22" s="781"/>
      <c r="AJ22" s="781"/>
      <c r="AK22" s="781"/>
      <c r="AL22" s="781"/>
      <c r="AM22" s="781"/>
    </row>
    <row r="23" spans="1:39" ht="15" customHeight="1">
      <c r="A23" s="781"/>
      <c r="B23" s="781"/>
      <c r="C23" s="781"/>
      <c r="D23" s="781"/>
      <c r="E23" s="781"/>
      <c r="F23" s="781"/>
      <c r="G23" s="781"/>
      <c r="H23" s="781"/>
      <c r="I23" s="781"/>
      <c r="J23" s="781"/>
      <c r="K23" s="781"/>
      <c r="L23" s="1122" t="s">
        <v>1367</v>
      </c>
      <c r="M23" s="1122"/>
      <c r="N23" s="1122"/>
      <c r="O23" s="1122"/>
      <c r="P23" s="1122"/>
      <c r="Q23" s="1122"/>
      <c r="R23" s="1122"/>
      <c r="S23" s="1123"/>
      <c r="T23" s="1123"/>
      <c r="U23" s="1123"/>
      <c r="V23" s="1123"/>
      <c r="W23" s="1123"/>
      <c r="X23" s="1123"/>
      <c r="Y23" s="1123"/>
      <c r="Z23" s="1123"/>
      <c r="AA23" s="1123"/>
      <c r="AB23" s="1123"/>
      <c r="AC23" s="1123"/>
      <c r="AD23" s="1123"/>
      <c r="AE23" s="1123"/>
      <c r="AF23" s="1123"/>
      <c r="AG23" s="1123"/>
      <c r="AH23" s="1123"/>
      <c r="AI23" s="1123"/>
      <c r="AJ23" s="1123"/>
      <c r="AK23" s="1123"/>
      <c r="AL23" s="1123"/>
      <c r="AM23" s="1123"/>
    </row>
    <row r="24" spans="1:39" ht="15" customHeight="1">
      <c r="A24" s="781"/>
      <c r="B24" s="781"/>
      <c r="C24" s="781"/>
      <c r="D24" s="781"/>
      <c r="E24" s="781"/>
      <c r="F24" s="781"/>
      <c r="G24" s="781"/>
      <c r="H24" s="781"/>
      <c r="I24" s="781"/>
      <c r="J24" s="781"/>
      <c r="K24" s="662"/>
      <c r="L24" s="1124"/>
      <c r="M24" s="1124"/>
      <c r="N24" s="1124"/>
      <c r="O24" s="1124"/>
      <c r="P24" s="1124"/>
      <c r="Q24" s="1124"/>
      <c r="R24" s="1124"/>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row>
  </sheetData>
  <sheetProtection formatColumns="0" formatRows="0" autoFilter="0"/>
  <mergeCells count="6">
    <mergeCell ref="L23:AM23"/>
    <mergeCell ref="L24:AM24"/>
    <mergeCell ref="L14:L15"/>
    <mergeCell ref="M14:M15"/>
    <mergeCell ref="N14:N15"/>
    <mergeCell ref="AM14:AM15"/>
  </mergeCells>
  <dataValidations count="1">
    <dataValidation type="textLength" operator="lessThanOrEqual" allowBlank="1" showInputMessage="1" showErrorMessage="1" errorTitle="Ошибка" error="Допускается ввод не более 900 символов!" sqref="AM17 AM20">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sheetPr>
  <dimension ref="A1:AM42"/>
  <sheetViews>
    <sheetView showGridLines="0" view="pageBreakPreview" zoomScale="80" zoomScaleNormal="100" zoomScaleSheetLayoutView="80" workbookViewId="0">
      <pane xSplit="14" ySplit="15" topLeftCell="O34" activePane="bottomRight" state="frozen"/>
      <selection activeCell="M11" sqref="M11"/>
      <selection pane="topRight" activeCell="M11" sqref="M11"/>
      <selection pane="bottomLeft" activeCell="M11" sqref="M11"/>
      <selection pane="bottomRight" activeCell="L45" sqref="L45:AM45"/>
    </sheetView>
  </sheetViews>
  <sheetFormatPr defaultColWidth="9.125" defaultRowHeight="11.4"/>
  <cols>
    <col min="1" max="10" width="2.75" style="86" hidden="1" customWidth="1"/>
    <col min="11" max="11" width="3.75" style="86" hidden="1" customWidth="1"/>
    <col min="12" max="12" width="7" style="86" customWidth="1"/>
    <col min="13" max="13" width="35.75" style="86" customWidth="1"/>
    <col min="14" max="19" width="13.25" style="86" customWidth="1"/>
    <col min="20" max="28" width="13.25" style="86" hidden="1" customWidth="1"/>
    <col min="29" max="29" width="13.25" style="86" customWidth="1"/>
    <col min="30" max="38" width="13.25" style="86" hidden="1" customWidth="1"/>
    <col min="39" max="39" width="20.75" style="86" customWidth="1"/>
    <col min="40" max="40" width="13.125" style="86" customWidth="1"/>
    <col min="41" max="16384" width="9.125" style="86"/>
  </cols>
  <sheetData>
    <row r="1" spans="1:39" hidden="1">
      <c r="A1" s="781"/>
      <c r="B1" s="781"/>
      <c r="C1" s="781"/>
      <c r="D1" s="781"/>
      <c r="E1" s="781"/>
      <c r="F1" s="781"/>
      <c r="G1" s="781"/>
      <c r="H1" s="781"/>
      <c r="I1" s="781"/>
      <c r="J1" s="781"/>
      <c r="K1" s="781"/>
      <c r="L1" s="781"/>
      <c r="M1" s="781"/>
      <c r="N1" s="781"/>
      <c r="O1" s="781">
        <v>2022</v>
      </c>
      <c r="P1" s="781">
        <v>2022</v>
      </c>
      <c r="Q1" s="781">
        <v>2022</v>
      </c>
      <c r="R1" s="781">
        <v>2023</v>
      </c>
      <c r="S1" s="781">
        <v>2024</v>
      </c>
      <c r="T1" s="781">
        <v>2025</v>
      </c>
      <c r="U1" s="781">
        <v>2026</v>
      </c>
      <c r="V1" s="781">
        <v>2027</v>
      </c>
      <c r="W1" s="781">
        <v>2028</v>
      </c>
      <c r="X1" s="781">
        <v>2029</v>
      </c>
      <c r="Y1" s="781">
        <v>2030</v>
      </c>
      <c r="Z1" s="781">
        <v>2031</v>
      </c>
      <c r="AA1" s="781">
        <v>2032</v>
      </c>
      <c r="AB1" s="781">
        <v>2033</v>
      </c>
      <c r="AC1" s="781">
        <v>2024</v>
      </c>
      <c r="AD1" s="781">
        <v>2025</v>
      </c>
      <c r="AE1" s="781">
        <v>2026</v>
      </c>
      <c r="AF1" s="781">
        <v>2027</v>
      </c>
      <c r="AG1" s="781">
        <v>2028</v>
      </c>
      <c r="AH1" s="781">
        <v>2029</v>
      </c>
      <c r="AI1" s="781">
        <v>2030</v>
      </c>
      <c r="AJ1" s="781">
        <v>2031</v>
      </c>
      <c r="AK1" s="781">
        <v>2032</v>
      </c>
      <c r="AL1" s="781">
        <v>2033</v>
      </c>
      <c r="AM1" s="781"/>
    </row>
    <row r="2" spans="1:39" hidden="1">
      <c r="A2" s="781"/>
      <c r="B2" s="781"/>
      <c r="C2" s="781"/>
      <c r="D2" s="781"/>
      <c r="E2" s="781"/>
      <c r="F2" s="781"/>
      <c r="G2" s="781"/>
      <c r="H2" s="781"/>
      <c r="I2" s="781"/>
      <c r="J2" s="781"/>
      <c r="K2" s="781"/>
      <c r="L2" s="781"/>
      <c r="M2" s="781"/>
      <c r="N2" s="781"/>
      <c r="O2" s="781" t="s">
        <v>268</v>
      </c>
      <c r="P2" s="781" t="s">
        <v>306</v>
      </c>
      <c r="Q2" s="781" t="s">
        <v>286</v>
      </c>
      <c r="R2" s="781" t="s">
        <v>268</v>
      </c>
      <c r="S2" s="781" t="s">
        <v>269</v>
      </c>
      <c r="T2" s="781" t="s">
        <v>269</v>
      </c>
      <c r="U2" s="781" t="s">
        <v>269</v>
      </c>
      <c r="V2" s="781" t="s">
        <v>269</v>
      </c>
      <c r="W2" s="781" t="s">
        <v>269</v>
      </c>
      <c r="X2" s="781" t="s">
        <v>269</v>
      </c>
      <c r="Y2" s="781" t="s">
        <v>269</v>
      </c>
      <c r="Z2" s="781" t="s">
        <v>269</v>
      </c>
      <c r="AA2" s="781" t="s">
        <v>269</v>
      </c>
      <c r="AB2" s="781" t="s">
        <v>269</v>
      </c>
      <c r="AC2" s="781" t="s">
        <v>268</v>
      </c>
      <c r="AD2" s="781" t="s">
        <v>268</v>
      </c>
      <c r="AE2" s="781" t="s">
        <v>268</v>
      </c>
      <c r="AF2" s="781" t="s">
        <v>268</v>
      </c>
      <c r="AG2" s="781" t="s">
        <v>268</v>
      </c>
      <c r="AH2" s="781" t="s">
        <v>268</v>
      </c>
      <c r="AI2" s="781" t="s">
        <v>268</v>
      </c>
      <c r="AJ2" s="781" t="s">
        <v>268</v>
      </c>
      <c r="AK2" s="781" t="s">
        <v>268</v>
      </c>
      <c r="AL2" s="781" t="s">
        <v>268</v>
      </c>
      <c r="AM2" s="781"/>
    </row>
    <row r="3" spans="1:39" hidden="1">
      <c r="A3" s="781"/>
      <c r="B3" s="781"/>
      <c r="C3" s="781"/>
      <c r="D3" s="781"/>
      <c r="E3" s="781"/>
      <c r="F3" s="781"/>
      <c r="G3" s="781"/>
      <c r="H3" s="781"/>
      <c r="I3" s="781"/>
      <c r="J3" s="781"/>
      <c r="K3" s="781"/>
      <c r="L3" s="781"/>
      <c r="M3" s="781"/>
      <c r="N3" s="781"/>
      <c r="O3" s="781" t="s">
        <v>3018</v>
      </c>
      <c r="P3" s="781" t="s">
        <v>3019</v>
      </c>
      <c r="Q3" s="781" t="s">
        <v>3020</v>
      </c>
      <c r="R3" s="781" t="s">
        <v>3022</v>
      </c>
      <c r="S3" s="781" t="s">
        <v>3023</v>
      </c>
      <c r="T3" s="781" t="s">
        <v>3028</v>
      </c>
      <c r="U3" s="781" t="s">
        <v>3030</v>
      </c>
      <c r="V3" s="781" t="s">
        <v>3032</v>
      </c>
      <c r="W3" s="781" t="s">
        <v>3034</v>
      </c>
      <c r="X3" s="781" t="s">
        <v>3036</v>
      </c>
      <c r="Y3" s="781" t="s">
        <v>3038</v>
      </c>
      <c r="Z3" s="781" t="s">
        <v>3040</v>
      </c>
      <c r="AA3" s="781" t="s">
        <v>3042</v>
      </c>
      <c r="AB3" s="781" t="s">
        <v>3044</v>
      </c>
      <c r="AC3" s="781" t="s">
        <v>3024</v>
      </c>
      <c r="AD3" s="781" t="s">
        <v>3029</v>
      </c>
      <c r="AE3" s="781" t="s">
        <v>3031</v>
      </c>
      <c r="AF3" s="781" t="s">
        <v>3033</v>
      </c>
      <c r="AG3" s="781" t="s">
        <v>3035</v>
      </c>
      <c r="AH3" s="781" t="s">
        <v>3037</v>
      </c>
      <c r="AI3" s="781" t="s">
        <v>3039</v>
      </c>
      <c r="AJ3" s="781" t="s">
        <v>3041</v>
      </c>
      <c r="AK3" s="781" t="s">
        <v>3043</v>
      </c>
      <c r="AL3" s="781" t="s">
        <v>3045</v>
      </c>
      <c r="AM3" s="781"/>
    </row>
    <row r="4" spans="1:39" hidden="1">
      <c r="A4" s="781"/>
      <c r="B4" s="781"/>
      <c r="C4" s="781"/>
      <c r="D4" s="781"/>
      <c r="E4" s="781"/>
      <c r="F4" s="781"/>
      <c r="G4" s="781"/>
      <c r="H4" s="781"/>
      <c r="I4" s="781"/>
      <c r="J4" s="781"/>
      <c r="K4" s="781"/>
      <c r="L4" s="781"/>
      <c r="M4" s="781"/>
      <c r="N4" s="781"/>
      <c r="O4" s="781"/>
      <c r="P4" s="781"/>
      <c r="Q4" s="781"/>
      <c r="R4" s="781"/>
      <c r="S4" s="781"/>
      <c r="T4" s="781"/>
      <c r="U4" s="781"/>
      <c r="V4" s="781"/>
      <c r="W4" s="781"/>
      <c r="X4" s="781"/>
      <c r="Y4" s="781"/>
      <c r="Z4" s="781"/>
      <c r="AA4" s="781"/>
      <c r="AB4" s="781"/>
      <c r="AC4" s="781"/>
      <c r="AD4" s="781"/>
      <c r="AE4" s="781"/>
      <c r="AF4" s="781"/>
      <c r="AG4" s="781"/>
      <c r="AH4" s="781"/>
      <c r="AI4" s="781"/>
      <c r="AJ4" s="781"/>
      <c r="AK4" s="781"/>
      <c r="AL4" s="781"/>
      <c r="AM4" s="781"/>
    </row>
    <row r="5" spans="1:39" hidden="1">
      <c r="A5" s="781"/>
      <c r="B5" s="781"/>
      <c r="C5" s="781"/>
      <c r="D5" s="781"/>
      <c r="E5" s="781"/>
      <c r="F5" s="781"/>
      <c r="G5" s="781"/>
      <c r="H5" s="781"/>
      <c r="I5" s="781"/>
      <c r="J5" s="781"/>
      <c r="K5" s="781"/>
      <c r="L5" s="781"/>
      <c r="M5" s="781"/>
      <c r="N5" s="781"/>
      <c r="O5" s="781"/>
      <c r="P5" s="781"/>
      <c r="Q5" s="781"/>
      <c r="R5" s="781"/>
      <c r="S5" s="781"/>
      <c r="T5" s="781"/>
      <c r="U5" s="781"/>
      <c r="V5" s="781"/>
      <c r="W5" s="781"/>
      <c r="X5" s="781"/>
      <c r="Y5" s="781"/>
      <c r="Z5" s="781"/>
      <c r="AA5" s="781"/>
      <c r="AB5" s="781"/>
      <c r="AC5" s="781"/>
      <c r="AD5" s="781"/>
      <c r="AE5" s="781"/>
      <c r="AF5" s="781"/>
      <c r="AG5" s="781"/>
      <c r="AH5" s="781"/>
      <c r="AI5" s="781"/>
      <c r="AJ5" s="781"/>
      <c r="AK5" s="781"/>
      <c r="AL5" s="781"/>
      <c r="AM5" s="781"/>
    </row>
    <row r="6" spans="1:39" hidden="1">
      <c r="A6" s="781"/>
      <c r="B6" s="781"/>
      <c r="C6" s="781"/>
      <c r="D6" s="781"/>
      <c r="E6" s="781"/>
      <c r="F6" s="781"/>
      <c r="G6" s="781"/>
      <c r="H6" s="781"/>
      <c r="I6" s="781"/>
      <c r="J6" s="781"/>
      <c r="K6" s="781"/>
      <c r="L6" s="781"/>
      <c r="M6" s="781"/>
      <c r="N6" s="781"/>
      <c r="O6" s="781"/>
      <c r="P6" s="781"/>
      <c r="Q6" s="781"/>
      <c r="R6" s="781"/>
      <c r="S6" s="781"/>
      <c r="T6" s="781"/>
      <c r="U6" s="781"/>
      <c r="V6" s="781"/>
      <c r="W6" s="781"/>
      <c r="X6" s="781"/>
      <c r="Y6" s="781"/>
      <c r="Z6" s="781"/>
      <c r="AA6" s="781"/>
      <c r="AB6" s="781"/>
      <c r="AC6" s="781"/>
      <c r="AD6" s="781"/>
      <c r="AE6" s="781"/>
      <c r="AF6" s="781"/>
      <c r="AG6" s="781"/>
      <c r="AH6" s="781"/>
      <c r="AI6" s="781"/>
      <c r="AJ6" s="781"/>
      <c r="AK6" s="781"/>
      <c r="AL6" s="781"/>
      <c r="AM6" s="781"/>
    </row>
    <row r="7" spans="1:39" hidden="1">
      <c r="A7" s="781"/>
      <c r="B7" s="781"/>
      <c r="C7" s="781"/>
      <c r="D7" s="781"/>
      <c r="E7" s="781"/>
      <c r="F7" s="781"/>
      <c r="G7" s="781"/>
      <c r="H7" s="781"/>
      <c r="I7" s="781"/>
      <c r="J7" s="781"/>
      <c r="K7" s="781"/>
      <c r="L7" s="781"/>
      <c r="M7" s="781"/>
      <c r="N7" s="781"/>
      <c r="O7" s="781"/>
      <c r="P7" s="781"/>
      <c r="Q7" s="781"/>
      <c r="R7" s="781"/>
      <c r="S7" s="731" t="b">
        <v>1</v>
      </c>
      <c r="T7" s="731" t="b">
        <v>0</v>
      </c>
      <c r="U7" s="731" t="b">
        <v>0</v>
      </c>
      <c r="V7" s="731" t="b">
        <v>0</v>
      </c>
      <c r="W7" s="731" t="b">
        <v>0</v>
      </c>
      <c r="X7" s="731" t="b">
        <v>0</v>
      </c>
      <c r="Y7" s="731" t="b">
        <v>0</v>
      </c>
      <c r="Z7" s="731" t="b">
        <v>0</v>
      </c>
      <c r="AA7" s="731" t="b">
        <v>0</v>
      </c>
      <c r="AB7" s="731" t="b">
        <v>0</v>
      </c>
      <c r="AC7" s="731" t="b">
        <v>1</v>
      </c>
      <c r="AD7" s="731" t="b">
        <v>0</v>
      </c>
      <c r="AE7" s="731" t="b">
        <v>0</v>
      </c>
      <c r="AF7" s="731" t="b">
        <v>0</v>
      </c>
      <c r="AG7" s="731" t="b">
        <v>0</v>
      </c>
      <c r="AH7" s="731" t="b">
        <v>0</v>
      </c>
      <c r="AI7" s="731" t="b">
        <v>0</v>
      </c>
      <c r="AJ7" s="731" t="b">
        <v>0</v>
      </c>
      <c r="AK7" s="731" t="b">
        <v>0</v>
      </c>
      <c r="AL7" s="731" t="b">
        <v>0</v>
      </c>
      <c r="AM7" s="781"/>
    </row>
    <row r="8" spans="1:39" hidden="1">
      <c r="A8" s="781"/>
      <c r="B8" s="781"/>
      <c r="C8" s="781"/>
      <c r="D8" s="781"/>
      <c r="E8" s="781"/>
      <c r="F8" s="781"/>
      <c r="G8" s="781"/>
      <c r="H8" s="781"/>
      <c r="I8" s="781"/>
      <c r="J8" s="781"/>
      <c r="K8" s="781"/>
      <c r="L8" s="781"/>
      <c r="M8" s="781"/>
      <c r="N8" s="781"/>
      <c r="O8" s="781"/>
      <c r="P8" s="781"/>
      <c r="Q8" s="781"/>
      <c r="R8" s="781"/>
      <c r="S8" s="781"/>
      <c r="T8" s="781"/>
      <c r="U8" s="781"/>
      <c r="V8" s="781"/>
      <c r="W8" s="781"/>
      <c r="X8" s="781"/>
      <c r="Y8" s="781"/>
      <c r="Z8" s="781"/>
      <c r="AA8" s="781"/>
      <c r="AB8" s="781"/>
      <c r="AC8" s="781"/>
      <c r="AD8" s="781"/>
      <c r="AE8" s="781"/>
      <c r="AF8" s="781"/>
      <c r="AG8" s="781"/>
      <c r="AH8" s="781"/>
      <c r="AI8" s="781"/>
      <c r="AJ8" s="781"/>
      <c r="AK8" s="781"/>
      <c r="AL8" s="781"/>
      <c r="AM8" s="781"/>
    </row>
    <row r="9" spans="1:39" hidden="1">
      <c r="A9" s="781"/>
      <c r="B9" s="781"/>
      <c r="C9" s="781"/>
      <c r="D9" s="781"/>
      <c r="E9" s="781"/>
      <c r="F9" s="781"/>
      <c r="G9" s="781"/>
      <c r="H9" s="781"/>
      <c r="I9" s="781"/>
      <c r="J9" s="781"/>
      <c r="K9" s="781"/>
      <c r="L9" s="781"/>
      <c r="M9" s="781"/>
      <c r="N9" s="781"/>
      <c r="O9" s="781"/>
      <c r="P9" s="781"/>
      <c r="Q9" s="781"/>
      <c r="R9" s="781"/>
      <c r="S9" s="781"/>
      <c r="T9" s="781"/>
      <c r="U9" s="781"/>
      <c r="V9" s="781"/>
      <c r="W9" s="781"/>
      <c r="X9" s="781"/>
      <c r="Y9" s="781"/>
      <c r="Z9" s="781"/>
      <c r="AA9" s="781"/>
      <c r="AB9" s="781"/>
      <c r="AC9" s="781"/>
      <c r="AD9" s="781"/>
      <c r="AE9" s="781"/>
      <c r="AF9" s="781"/>
      <c r="AG9" s="781"/>
      <c r="AH9" s="781"/>
      <c r="AI9" s="781"/>
      <c r="AJ9" s="781"/>
      <c r="AK9" s="781"/>
      <c r="AL9" s="781"/>
      <c r="AM9" s="781"/>
    </row>
    <row r="10" spans="1:39" hidden="1">
      <c r="A10" s="781"/>
      <c r="B10" s="781"/>
      <c r="C10" s="781"/>
      <c r="D10" s="781"/>
      <c r="E10" s="781"/>
      <c r="F10" s="781"/>
      <c r="G10" s="781"/>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row>
    <row r="11" spans="1:39" ht="15" hidden="1" customHeight="1">
      <c r="A11" s="781"/>
      <c r="B11" s="781"/>
      <c r="C11" s="781"/>
      <c r="D11" s="781"/>
      <c r="E11" s="781"/>
      <c r="F11" s="781"/>
      <c r="G11" s="781"/>
      <c r="H11" s="781"/>
      <c r="I11" s="781"/>
      <c r="J11" s="781"/>
      <c r="K11" s="781"/>
      <c r="L11" s="781"/>
      <c r="M11" s="737"/>
      <c r="N11" s="781"/>
      <c r="O11" s="781"/>
      <c r="P11" s="781"/>
      <c r="Q11" s="781"/>
      <c r="R11" s="781"/>
      <c r="S11" s="781"/>
      <c r="T11" s="781"/>
      <c r="U11" s="781"/>
      <c r="V11" s="781"/>
      <c r="W11" s="781"/>
      <c r="X11" s="781"/>
      <c r="Y11" s="781"/>
      <c r="Z11" s="781"/>
      <c r="AA11" s="781"/>
      <c r="AB11" s="781"/>
      <c r="AC11" s="781"/>
      <c r="AD11" s="781"/>
      <c r="AE11" s="781"/>
      <c r="AF11" s="781"/>
      <c r="AG11" s="781"/>
      <c r="AH11" s="781"/>
      <c r="AI11" s="781"/>
      <c r="AJ11" s="781"/>
      <c r="AK11" s="781"/>
      <c r="AL11" s="781"/>
      <c r="AM11" s="781"/>
    </row>
    <row r="12" spans="1:39" s="87" customFormat="1" ht="20.100000000000001" customHeight="1">
      <c r="A12" s="610"/>
      <c r="B12" s="610"/>
      <c r="C12" s="610"/>
      <c r="D12" s="610"/>
      <c r="E12" s="610"/>
      <c r="F12" s="610"/>
      <c r="G12" s="610"/>
      <c r="H12" s="610"/>
      <c r="I12" s="610"/>
      <c r="J12" s="610"/>
      <c r="K12" s="610"/>
      <c r="L12" s="417" t="s">
        <v>1245</v>
      </c>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row>
    <row r="13" spans="1:39" s="180" customFormat="1">
      <c r="L13" s="181"/>
      <c r="M13" s="181"/>
      <c r="N13" s="181"/>
      <c r="O13" s="182"/>
      <c r="P13" s="182"/>
      <c r="Q13" s="182"/>
      <c r="R13" s="182"/>
      <c r="S13" s="181"/>
      <c r="T13" s="181"/>
      <c r="U13" s="181"/>
      <c r="V13" s="181"/>
      <c r="W13" s="181"/>
      <c r="X13" s="181"/>
      <c r="Y13" s="181"/>
      <c r="Z13" s="181"/>
      <c r="AA13" s="181"/>
      <c r="AB13" s="181"/>
      <c r="AC13" s="181"/>
      <c r="AD13" s="181"/>
      <c r="AE13" s="181"/>
      <c r="AF13" s="181"/>
      <c r="AG13" s="181"/>
      <c r="AH13" s="181"/>
      <c r="AI13" s="181"/>
      <c r="AJ13" s="181"/>
      <c r="AK13" s="181"/>
      <c r="AL13" s="181"/>
      <c r="AM13" s="181"/>
    </row>
    <row r="14" spans="1:39" s="88" customFormat="1" ht="15" customHeight="1">
      <c r="A14" s="751"/>
      <c r="B14" s="751"/>
      <c r="C14" s="751"/>
      <c r="D14" s="751"/>
      <c r="E14" s="751"/>
      <c r="F14" s="751"/>
      <c r="G14" s="751"/>
      <c r="H14" s="751"/>
      <c r="I14" s="751"/>
      <c r="J14" s="751"/>
      <c r="K14" s="751"/>
      <c r="L14" s="1126" t="s">
        <v>16</v>
      </c>
      <c r="M14" s="1126" t="s">
        <v>121</v>
      </c>
      <c r="N14" s="1126" t="s">
        <v>135</v>
      </c>
      <c r="O14" s="782" t="s">
        <v>3010</v>
      </c>
      <c r="P14" s="782" t="s">
        <v>3010</v>
      </c>
      <c r="Q14" s="782" t="s">
        <v>3010</v>
      </c>
      <c r="R14" s="783" t="s">
        <v>3011</v>
      </c>
      <c r="S14" s="747" t="s">
        <v>3012</v>
      </c>
      <c r="T14" s="747" t="s">
        <v>3046</v>
      </c>
      <c r="U14" s="747" t="s">
        <v>3047</v>
      </c>
      <c r="V14" s="747" t="s">
        <v>3048</v>
      </c>
      <c r="W14" s="747" t="s">
        <v>3049</v>
      </c>
      <c r="X14" s="747" t="s">
        <v>3050</v>
      </c>
      <c r="Y14" s="747" t="s">
        <v>3051</v>
      </c>
      <c r="Z14" s="747" t="s">
        <v>3052</v>
      </c>
      <c r="AA14" s="747" t="s">
        <v>3053</v>
      </c>
      <c r="AB14" s="747" t="s">
        <v>3054</v>
      </c>
      <c r="AC14" s="747" t="s">
        <v>3012</v>
      </c>
      <c r="AD14" s="747" t="s">
        <v>3046</v>
      </c>
      <c r="AE14" s="747" t="s">
        <v>3047</v>
      </c>
      <c r="AF14" s="747" t="s">
        <v>3048</v>
      </c>
      <c r="AG14" s="747" t="s">
        <v>3049</v>
      </c>
      <c r="AH14" s="747" t="s">
        <v>3050</v>
      </c>
      <c r="AI14" s="747" t="s">
        <v>3051</v>
      </c>
      <c r="AJ14" s="747" t="s">
        <v>3052</v>
      </c>
      <c r="AK14" s="747" t="s">
        <v>3053</v>
      </c>
      <c r="AL14" s="747" t="s">
        <v>3054</v>
      </c>
      <c r="AM14" s="1111" t="s">
        <v>305</v>
      </c>
    </row>
    <row r="15" spans="1:39" s="88" customFormat="1" ht="50.1" customHeight="1">
      <c r="A15" s="751"/>
      <c r="B15" s="751"/>
      <c r="C15" s="751"/>
      <c r="D15" s="751"/>
      <c r="E15" s="751"/>
      <c r="F15" s="751"/>
      <c r="G15" s="751"/>
      <c r="H15" s="751"/>
      <c r="I15" s="751"/>
      <c r="J15" s="751"/>
      <c r="K15" s="751"/>
      <c r="L15" s="1126"/>
      <c r="M15" s="1126"/>
      <c r="N15" s="1126"/>
      <c r="O15" s="747" t="s">
        <v>268</v>
      </c>
      <c r="P15" s="747" t="s">
        <v>306</v>
      </c>
      <c r="Q15" s="747" t="s">
        <v>286</v>
      </c>
      <c r="R15" s="747" t="s">
        <v>268</v>
      </c>
      <c r="S15" s="784" t="s">
        <v>269</v>
      </c>
      <c r="T15" s="784" t="s">
        <v>269</v>
      </c>
      <c r="U15" s="784" t="s">
        <v>269</v>
      </c>
      <c r="V15" s="784" t="s">
        <v>269</v>
      </c>
      <c r="W15" s="784" t="s">
        <v>269</v>
      </c>
      <c r="X15" s="784" t="s">
        <v>269</v>
      </c>
      <c r="Y15" s="784" t="s">
        <v>269</v>
      </c>
      <c r="Z15" s="784" t="s">
        <v>269</v>
      </c>
      <c r="AA15" s="784" t="s">
        <v>269</v>
      </c>
      <c r="AB15" s="784" t="s">
        <v>269</v>
      </c>
      <c r="AC15" s="784" t="s">
        <v>268</v>
      </c>
      <c r="AD15" s="784" t="s">
        <v>268</v>
      </c>
      <c r="AE15" s="784" t="s">
        <v>268</v>
      </c>
      <c r="AF15" s="784" t="s">
        <v>268</v>
      </c>
      <c r="AG15" s="784" t="s">
        <v>268</v>
      </c>
      <c r="AH15" s="784" t="s">
        <v>268</v>
      </c>
      <c r="AI15" s="784" t="s">
        <v>268</v>
      </c>
      <c r="AJ15" s="784" t="s">
        <v>268</v>
      </c>
      <c r="AK15" s="784" t="s">
        <v>268</v>
      </c>
      <c r="AL15" s="784" t="s">
        <v>268</v>
      </c>
      <c r="AM15" s="1111"/>
    </row>
    <row r="16" spans="1:39" s="88" customFormat="1">
      <c r="A16" s="788" t="s">
        <v>18</v>
      </c>
      <c r="B16" s="781"/>
      <c r="C16" s="781"/>
      <c r="D16" s="751"/>
      <c r="E16" s="751"/>
      <c r="F16" s="751"/>
      <c r="G16" s="751"/>
      <c r="H16" s="751"/>
      <c r="I16" s="751"/>
      <c r="J16" s="751"/>
      <c r="K16" s="751"/>
      <c r="L16" s="687" t="s">
        <v>3005</v>
      </c>
      <c r="M16" s="708"/>
      <c r="N16" s="688"/>
      <c r="O16" s="688"/>
      <c r="P16" s="688"/>
      <c r="Q16" s="688"/>
      <c r="R16" s="688"/>
      <c r="S16" s="688"/>
      <c r="T16" s="688"/>
      <c r="U16" s="688"/>
      <c r="V16" s="688"/>
      <c r="W16" s="688"/>
      <c r="X16" s="688"/>
      <c r="Y16" s="688"/>
      <c r="Z16" s="688"/>
      <c r="AA16" s="688"/>
      <c r="AB16" s="688"/>
      <c r="AC16" s="688"/>
      <c r="AD16" s="688"/>
      <c r="AE16" s="688"/>
      <c r="AF16" s="688"/>
      <c r="AG16" s="688"/>
      <c r="AH16" s="688"/>
      <c r="AI16" s="688"/>
      <c r="AJ16" s="688"/>
      <c r="AK16" s="688"/>
      <c r="AL16" s="688"/>
      <c r="AM16" s="752"/>
    </row>
    <row r="17" spans="1:39" s="90" customFormat="1">
      <c r="A17" s="809">
        <v>1</v>
      </c>
      <c r="B17" s="810" t="s">
        <v>1406</v>
      </c>
      <c r="C17" s="810"/>
      <c r="D17" s="806"/>
      <c r="E17" s="806"/>
      <c r="F17" s="806"/>
      <c r="G17" s="806"/>
      <c r="H17" s="806"/>
      <c r="I17" s="806"/>
      <c r="J17" s="806"/>
      <c r="K17" s="806"/>
      <c r="L17" s="807" t="s">
        <v>18</v>
      </c>
      <c r="M17" s="175" t="s">
        <v>1028</v>
      </c>
      <c r="N17" s="749" t="s">
        <v>352</v>
      </c>
      <c r="O17" s="177">
        <v>79.319999999999993</v>
      </c>
      <c r="P17" s="177">
        <v>75.44</v>
      </c>
      <c r="Q17" s="177">
        <v>85.5</v>
      </c>
      <c r="R17" s="177">
        <v>76.459999999999994</v>
      </c>
      <c r="S17" s="177">
        <v>88.71</v>
      </c>
      <c r="T17" s="177">
        <v>0</v>
      </c>
      <c r="U17" s="177">
        <v>0</v>
      </c>
      <c r="V17" s="177">
        <v>0</v>
      </c>
      <c r="W17" s="177">
        <v>0</v>
      </c>
      <c r="X17" s="177">
        <v>0</v>
      </c>
      <c r="Y17" s="177">
        <v>0</v>
      </c>
      <c r="Z17" s="177">
        <v>0</v>
      </c>
      <c r="AA17" s="177">
        <v>0</v>
      </c>
      <c r="AB17" s="177">
        <v>0</v>
      </c>
      <c r="AC17" s="177">
        <v>105.68</v>
      </c>
      <c r="AD17" s="177">
        <v>0</v>
      </c>
      <c r="AE17" s="177">
        <v>0</v>
      </c>
      <c r="AF17" s="177">
        <v>0</v>
      </c>
      <c r="AG17" s="177">
        <v>0</v>
      </c>
      <c r="AH17" s="177">
        <v>0</v>
      </c>
      <c r="AI17" s="177">
        <v>0</v>
      </c>
      <c r="AJ17" s="177">
        <v>0</v>
      </c>
      <c r="AK17" s="177">
        <v>0</v>
      </c>
      <c r="AL17" s="177">
        <v>0</v>
      </c>
      <c r="AM17" s="796"/>
    </row>
    <row r="18" spans="1:39" s="90" customFormat="1" ht="22.8">
      <c r="A18" s="809">
        <v>1</v>
      </c>
      <c r="B18" s="810" t="s">
        <v>1438</v>
      </c>
      <c r="C18" s="810"/>
      <c r="D18" s="806"/>
      <c r="E18" s="806"/>
      <c r="F18" s="806"/>
      <c r="G18" s="806"/>
      <c r="H18" s="806"/>
      <c r="I18" s="806"/>
      <c r="J18" s="806"/>
      <c r="K18" s="806"/>
      <c r="L18" s="807" t="s">
        <v>102</v>
      </c>
      <c r="M18" s="175" t="s">
        <v>1142</v>
      </c>
      <c r="N18" s="747" t="s">
        <v>1209</v>
      </c>
      <c r="O18" s="177">
        <v>13.75</v>
      </c>
      <c r="P18" s="177">
        <v>13.4</v>
      </c>
      <c r="Q18" s="177">
        <v>15.19</v>
      </c>
      <c r="R18" s="177">
        <v>13.32</v>
      </c>
      <c r="S18" s="177">
        <v>13.4</v>
      </c>
      <c r="T18" s="177">
        <v>0</v>
      </c>
      <c r="U18" s="177">
        <v>0</v>
      </c>
      <c r="V18" s="177">
        <v>0</v>
      </c>
      <c r="W18" s="177">
        <v>0</v>
      </c>
      <c r="X18" s="177">
        <v>0</v>
      </c>
      <c r="Y18" s="177">
        <v>0</v>
      </c>
      <c r="Z18" s="177">
        <v>0</v>
      </c>
      <c r="AA18" s="177">
        <v>0</v>
      </c>
      <c r="AB18" s="177">
        <v>0</v>
      </c>
      <c r="AC18" s="177">
        <v>15.96</v>
      </c>
      <c r="AD18" s="177">
        <v>0</v>
      </c>
      <c r="AE18" s="177">
        <v>0</v>
      </c>
      <c r="AF18" s="177">
        <v>0</v>
      </c>
      <c r="AG18" s="177">
        <v>0</v>
      </c>
      <c r="AH18" s="177">
        <v>0</v>
      </c>
      <c r="AI18" s="177">
        <v>0</v>
      </c>
      <c r="AJ18" s="177">
        <v>0</v>
      </c>
      <c r="AK18" s="177">
        <v>0</v>
      </c>
      <c r="AL18" s="177">
        <v>0</v>
      </c>
      <c r="AM18" s="796"/>
    </row>
    <row r="19" spans="1:39" s="90" customFormat="1">
      <c r="A19" s="809">
        <v>1</v>
      </c>
      <c r="B19" s="810" t="s">
        <v>1442</v>
      </c>
      <c r="C19" s="810"/>
      <c r="D19" s="806"/>
      <c r="E19" s="806"/>
      <c r="F19" s="806"/>
      <c r="G19" s="806"/>
      <c r="H19" s="806"/>
      <c r="I19" s="806"/>
      <c r="J19" s="806"/>
      <c r="K19" s="806"/>
      <c r="L19" s="807" t="s">
        <v>103</v>
      </c>
      <c r="M19" s="175" t="s">
        <v>1143</v>
      </c>
      <c r="N19" s="747" t="s">
        <v>485</v>
      </c>
      <c r="O19" s="811">
        <v>590</v>
      </c>
      <c r="P19" s="811">
        <v>651.79</v>
      </c>
      <c r="Q19" s="811">
        <v>651.79</v>
      </c>
      <c r="R19" s="811">
        <v>571.72</v>
      </c>
      <c r="S19" s="811">
        <v>685.16</v>
      </c>
      <c r="T19" s="811"/>
      <c r="U19" s="811"/>
      <c r="V19" s="811"/>
      <c r="W19" s="811"/>
      <c r="X19" s="811"/>
      <c r="Y19" s="811"/>
      <c r="Z19" s="811"/>
      <c r="AA19" s="811"/>
      <c r="AB19" s="811"/>
      <c r="AC19" s="811">
        <v>685.16</v>
      </c>
      <c r="AD19" s="811"/>
      <c r="AE19" s="811"/>
      <c r="AF19" s="811"/>
      <c r="AG19" s="811"/>
      <c r="AH19" s="811"/>
      <c r="AI19" s="811"/>
      <c r="AJ19" s="811"/>
      <c r="AK19" s="811"/>
      <c r="AL19" s="811"/>
      <c r="AM19" s="796"/>
    </row>
    <row r="20" spans="1:39" s="90" customFormat="1">
      <c r="A20" s="809">
        <v>1</v>
      </c>
      <c r="B20" s="810" t="s">
        <v>1444</v>
      </c>
      <c r="C20" s="810"/>
      <c r="D20" s="806"/>
      <c r="E20" s="806"/>
      <c r="F20" s="806"/>
      <c r="G20" s="806"/>
      <c r="H20" s="806"/>
      <c r="I20" s="806"/>
      <c r="J20" s="806"/>
      <c r="K20" s="806"/>
      <c r="L20" s="807" t="s">
        <v>104</v>
      </c>
      <c r="M20" s="175" t="s">
        <v>354</v>
      </c>
      <c r="N20" s="747" t="s">
        <v>487</v>
      </c>
      <c r="O20" s="177">
        <v>5.768727272727272</v>
      </c>
      <c r="P20" s="177">
        <v>5.629850746268656</v>
      </c>
      <c r="Q20" s="177">
        <v>5.6287030941408824</v>
      </c>
      <c r="R20" s="177">
        <v>5.7402402402402393</v>
      </c>
      <c r="S20" s="177">
        <v>6.6201492537313422</v>
      </c>
      <c r="T20" s="177">
        <v>0</v>
      </c>
      <c r="U20" s="177">
        <v>0</v>
      </c>
      <c r="V20" s="177">
        <v>0</v>
      </c>
      <c r="W20" s="177">
        <v>0</v>
      </c>
      <c r="X20" s="177">
        <v>0</v>
      </c>
      <c r="Y20" s="177">
        <v>0</v>
      </c>
      <c r="Z20" s="177">
        <v>0</v>
      </c>
      <c r="AA20" s="177">
        <v>0</v>
      </c>
      <c r="AB20" s="177">
        <v>0</v>
      </c>
      <c r="AC20" s="177">
        <v>6.6215538847117799</v>
      </c>
      <c r="AD20" s="177">
        <v>0</v>
      </c>
      <c r="AE20" s="177">
        <v>0</v>
      </c>
      <c r="AF20" s="177">
        <v>0</v>
      </c>
      <c r="AG20" s="177">
        <v>0</v>
      </c>
      <c r="AH20" s="177">
        <v>0</v>
      </c>
      <c r="AI20" s="177">
        <v>0</v>
      </c>
      <c r="AJ20" s="177">
        <v>0</v>
      </c>
      <c r="AK20" s="177">
        <v>0</v>
      </c>
      <c r="AL20" s="177">
        <v>0</v>
      </c>
      <c r="AM20" s="796"/>
    </row>
    <row r="21" spans="1:39" s="90" customFormat="1">
      <c r="A21" s="809">
        <v>1</v>
      </c>
      <c r="B21" s="810" t="s">
        <v>1446</v>
      </c>
      <c r="C21" s="810"/>
      <c r="D21" s="806"/>
      <c r="E21" s="806"/>
      <c r="F21" s="806"/>
      <c r="G21" s="806"/>
      <c r="H21" s="806"/>
      <c r="I21" s="806"/>
      <c r="J21" s="806"/>
      <c r="K21" s="806"/>
      <c r="L21" s="807" t="s">
        <v>120</v>
      </c>
      <c r="M21" s="175" t="s">
        <v>355</v>
      </c>
      <c r="N21" s="747" t="s">
        <v>483</v>
      </c>
      <c r="O21" s="812">
        <v>2.3305084745762712E-2</v>
      </c>
      <c r="P21" s="812">
        <v>2.0558768928642664E-2</v>
      </c>
      <c r="Q21" s="812">
        <v>2.330505224075239E-2</v>
      </c>
      <c r="R21" s="812">
        <v>2.3298117959840482E-2</v>
      </c>
      <c r="S21" s="812">
        <v>1.9557475626131124E-2</v>
      </c>
      <c r="T21" s="812">
        <v>0</v>
      </c>
      <c r="U21" s="812">
        <v>0</v>
      </c>
      <c r="V21" s="812">
        <v>0</v>
      </c>
      <c r="W21" s="812">
        <v>0</v>
      </c>
      <c r="X21" s="812">
        <v>0</v>
      </c>
      <c r="Y21" s="812">
        <v>0</v>
      </c>
      <c r="Z21" s="812">
        <v>0</v>
      </c>
      <c r="AA21" s="812">
        <v>0</v>
      </c>
      <c r="AB21" s="812">
        <v>0</v>
      </c>
      <c r="AC21" s="812">
        <v>2.3293829178586026E-2</v>
      </c>
      <c r="AD21" s="812">
        <v>0</v>
      </c>
      <c r="AE21" s="812">
        <v>0</v>
      </c>
      <c r="AF21" s="812">
        <v>0</v>
      </c>
      <c r="AG21" s="812">
        <v>0</v>
      </c>
      <c r="AH21" s="812">
        <v>0</v>
      </c>
      <c r="AI21" s="812">
        <v>0</v>
      </c>
      <c r="AJ21" s="812">
        <v>0</v>
      </c>
      <c r="AK21" s="812">
        <v>0</v>
      </c>
      <c r="AL21" s="812">
        <v>0</v>
      </c>
      <c r="AM21" s="796"/>
    </row>
    <row r="22" spans="1:39" s="90" customFormat="1" ht="22.8">
      <c r="A22" s="809">
        <v>1</v>
      </c>
      <c r="B22" s="810"/>
      <c r="C22" s="810"/>
      <c r="D22" s="806"/>
      <c r="E22" s="806"/>
      <c r="F22" s="806"/>
      <c r="G22" s="806"/>
      <c r="H22" s="806"/>
      <c r="I22" s="806"/>
      <c r="J22" s="813" t="s">
        <v>1032</v>
      </c>
      <c r="K22" s="806"/>
      <c r="L22" s="814"/>
      <c r="M22" s="815" t="s">
        <v>1129</v>
      </c>
      <c r="N22" s="816"/>
      <c r="O22" s="817"/>
      <c r="P22" s="817"/>
      <c r="Q22" s="817"/>
      <c r="R22" s="817"/>
      <c r="S22" s="817"/>
      <c r="T22" s="817"/>
      <c r="U22" s="817"/>
      <c r="V22" s="817"/>
      <c r="W22" s="817"/>
      <c r="X22" s="817"/>
      <c r="Y22" s="817"/>
      <c r="Z22" s="817"/>
      <c r="AA22" s="817"/>
      <c r="AB22" s="817"/>
      <c r="AC22" s="817"/>
      <c r="AD22" s="817"/>
      <c r="AE22" s="817"/>
      <c r="AF22" s="817"/>
      <c r="AG22" s="817"/>
      <c r="AH22" s="817"/>
      <c r="AI22" s="817"/>
      <c r="AJ22" s="817"/>
      <c r="AK22" s="817"/>
      <c r="AL22" s="817"/>
      <c r="AM22" s="818"/>
    </row>
    <row r="23" spans="1:39" s="90" customFormat="1" ht="13.8">
      <c r="A23" s="819">
        <v>1</v>
      </c>
      <c r="B23" s="810" t="s">
        <v>1448</v>
      </c>
      <c r="C23" s="810" t="s">
        <v>1193</v>
      </c>
      <c r="D23" s="806"/>
      <c r="E23" s="806"/>
      <c r="F23" s="806"/>
      <c r="G23" s="806"/>
      <c r="H23" s="806"/>
      <c r="I23" s="806"/>
      <c r="J23" s="1127" t="s">
        <v>179</v>
      </c>
      <c r="K23" s="662"/>
      <c r="L23" s="807" t="s">
        <v>179</v>
      </c>
      <c r="M23" s="820" t="s">
        <v>1193</v>
      </c>
      <c r="N23" s="749" t="s">
        <v>352</v>
      </c>
      <c r="O23" s="821">
        <v>79.319999999999993</v>
      </c>
      <c r="P23" s="821">
        <v>75.44</v>
      </c>
      <c r="Q23" s="821">
        <v>85.5</v>
      </c>
      <c r="R23" s="821">
        <v>76.459999999999994</v>
      </c>
      <c r="S23" s="821">
        <v>88.71</v>
      </c>
      <c r="T23" s="821"/>
      <c r="U23" s="821"/>
      <c r="V23" s="821"/>
      <c r="W23" s="821"/>
      <c r="X23" s="821"/>
      <c r="Y23" s="821"/>
      <c r="Z23" s="821"/>
      <c r="AA23" s="821"/>
      <c r="AB23" s="821"/>
      <c r="AC23" s="821">
        <v>105.68</v>
      </c>
      <c r="AD23" s="821"/>
      <c r="AE23" s="821"/>
      <c r="AF23" s="821"/>
      <c r="AG23" s="821"/>
      <c r="AH23" s="821"/>
      <c r="AI23" s="821"/>
      <c r="AJ23" s="821"/>
      <c r="AK23" s="821"/>
      <c r="AL23" s="821"/>
      <c r="AM23" s="796"/>
    </row>
    <row r="24" spans="1:39" s="90" customFormat="1">
      <c r="A24" s="819">
        <v>1</v>
      </c>
      <c r="B24" s="810" t="s">
        <v>1645</v>
      </c>
      <c r="C24" s="810" t="s">
        <v>1193</v>
      </c>
      <c r="D24" s="806"/>
      <c r="E24" s="806"/>
      <c r="F24" s="806"/>
      <c r="G24" s="806"/>
      <c r="H24" s="806"/>
      <c r="I24" s="806"/>
      <c r="J24" s="1127"/>
      <c r="K24" s="806"/>
      <c r="L24" s="822" t="s">
        <v>1283</v>
      </c>
      <c r="M24" s="194" t="s">
        <v>1033</v>
      </c>
      <c r="N24" s="747" t="s">
        <v>487</v>
      </c>
      <c r="O24" s="808">
        <v>5.768727272727272</v>
      </c>
      <c r="P24" s="808">
        <v>5.629850746268656</v>
      </c>
      <c r="Q24" s="808">
        <v>5.6287030941408824</v>
      </c>
      <c r="R24" s="808">
        <v>5.7402402402402393</v>
      </c>
      <c r="S24" s="808">
        <v>6.6201492537313422</v>
      </c>
      <c r="T24" s="808">
        <v>0</v>
      </c>
      <c r="U24" s="808">
        <v>0</v>
      </c>
      <c r="V24" s="808">
        <v>0</v>
      </c>
      <c r="W24" s="808">
        <v>0</v>
      </c>
      <c r="X24" s="808">
        <v>0</v>
      </c>
      <c r="Y24" s="808">
        <v>0</v>
      </c>
      <c r="Z24" s="808">
        <v>0</v>
      </c>
      <c r="AA24" s="808">
        <v>0</v>
      </c>
      <c r="AB24" s="808">
        <v>0</v>
      </c>
      <c r="AC24" s="808">
        <v>6.6215538847117799</v>
      </c>
      <c r="AD24" s="808">
        <v>0</v>
      </c>
      <c r="AE24" s="808">
        <v>0</v>
      </c>
      <c r="AF24" s="808">
        <v>0</v>
      </c>
      <c r="AG24" s="808">
        <v>0</v>
      </c>
      <c r="AH24" s="808">
        <v>0</v>
      </c>
      <c r="AI24" s="808">
        <v>0</v>
      </c>
      <c r="AJ24" s="808">
        <v>0</v>
      </c>
      <c r="AK24" s="808">
        <v>0</v>
      </c>
      <c r="AL24" s="808">
        <v>0</v>
      </c>
      <c r="AM24" s="796"/>
    </row>
    <row r="25" spans="1:39" s="90" customFormat="1">
      <c r="A25" s="819">
        <v>1</v>
      </c>
      <c r="B25" s="810" t="s">
        <v>1646</v>
      </c>
      <c r="C25" s="810" t="s">
        <v>1193</v>
      </c>
      <c r="D25" s="806"/>
      <c r="E25" s="806"/>
      <c r="F25" s="806"/>
      <c r="G25" s="806"/>
      <c r="H25" s="806"/>
      <c r="I25" s="806"/>
      <c r="J25" s="1127"/>
      <c r="K25" s="806"/>
      <c r="L25" s="822" t="s">
        <v>1284</v>
      </c>
      <c r="M25" s="194" t="s">
        <v>1144</v>
      </c>
      <c r="N25" s="747" t="s">
        <v>1209</v>
      </c>
      <c r="O25" s="821">
        <v>13.75</v>
      </c>
      <c r="P25" s="821">
        <v>13.4</v>
      </c>
      <c r="Q25" s="821">
        <v>15.19</v>
      </c>
      <c r="R25" s="821">
        <v>13.32</v>
      </c>
      <c r="S25" s="821">
        <v>13.4</v>
      </c>
      <c r="T25" s="821"/>
      <c r="U25" s="821"/>
      <c r="V25" s="821"/>
      <c r="W25" s="821"/>
      <c r="X25" s="821"/>
      <c r="Y25" s="821"/>
      <c r="Z25" s="821"/>
      <c r="AA25" s="821"/>
      <c r="AB25" s="821"/>
      <c r="AC25" s="821">
        <v>15.96</v>
      </c>
      <c r="AD25" s="821"/>
      <c r="AE25" s="821"/>
      <c r="AF25" s="821"/>
      <c r="AG25" s="821"/>
      <c r="AH25" s="821"/>
      <c r="AI25" s="821"/>
      <c r="AJ25" s="821"/>
      <c r="AK25" s="821"/>
      <c r="AL25" s="821"/>
      <c r="AM25" s="796"/>
    </row>
    <row r="26" spans="1:39" s="90" customFormat="1" ht="22.8">
      <c r="A26" s="809">
        <v>1</v>
      </c>
      <c r="B26" s="810"/>
      <c r="C26" s="810"/>
      <c r="D26" s="806"/>
      <c r="E26" s="806"/>
      <c r="F26" s="806"/>
      <c r="G26" s="806"/>
      <c r="H26" s="806"/>
      <c r="I26" s="806"/>
      <c r="J26" s="813" t="s">
        <v>1113</v>
      </c>
      <c r="K26" s="806"/>
      <c r="L26" s="814"/>
      <c r="M26" s="815" t="s">
        <v>1130</v>
      </c>
      <c r="N26" s="816"/>
      <c r="O26" s="817"/>
      <c r="P26" s="817"/>
      <c r="Q26" s="817"/>
      <c r="R26" s="817"/>
      <c r="S26" s="817"/>
      <c r="T26" s="817"/>
      <c r="U26" s="817"/>
      <c r="V26" s="817"/>
      <c r="W26" s="817"/>
      <c r="X26" s="817"/>
      <c r="Y26" s="817"/>
      <c r="Z26" s="817"/>
      <c r="AA26" s="817"/>
      <c r="AB26" s="817"/>
      <c r="AC26" s="817"/>
      <c r="AD26" s="817"/>
      <c r="AE26" s="817"/>
      <c r="AF26" s="817"/>
      <c r="AG26" s="817"/>
      <c r="AH26" s="817"/>
      <c r="AI26" s="817"/>
      <c r="AJ26" s="817"/>
      <c r="AK26" s="817"/>
      <c r="AL26" s="817"/>
      <c r="AM26" s="818"/>
    </row>
    <row r="27" spans="1:39" s="88" customFormat="1">
      <c r="A27" s="788" t="s">
        <v>102</v>
      </c>
      <c r="B27" s="781"/>
      <c r="C27" s="781"/>
      <c r="D27" s="751"/>
      <c r="E27" s="751"/>
      <c r="F27" s="751"/>
      <c r="G27" s="751"/>
      <c r="H27" s="751"/>
      <c r="I27" s="751"/>
      <c r="J27" s="751"/>
      <c r="K27" s="751"/>
      <c r="L27" s="687" t="s">
        <v>3009</v>
      </c>
      <c r="M27" s="708"/>
      <c r="N27" s="688"/>
      <c r="O27" s="688"/>
      <c r="P27" s="688"/>
      <c r="Q27" s="688"/>
      <c r="R27" s="688"/>
      <c r="S27" s="688"/>
      <c r="T27" s="688"/>
      <c r="U27" s="688"/>
      <c r="V27" s="688"/>
      <c r="W27" s="688"/>
      <c r="X27" s="688"/>
      <c r="Y27" s="688"/>
      <c r="Z27" s="688"/>
      <c r="AA27" s="688"/>
      <c r="AB27" s="688"/>
      <c r="AC27" s="688"/>
      <c r="AD27" s="688"/>
      <c r="AE27" s="688"/>
      <c r="AF27" s="688"/>
      <c r="AG27" s="688"/>
      <c r="AH27" s="688"/>
      <c r="AI27" s="688"/>
      <c r="AJ27" s="688"/>
      <c r="AK27" s="688"/>
      <c r="AL27" s="688"/>
      <c r="AM27" s="752"/>
    </row>
    <row r="28" spans="1:39" s="90" customFormat="1">
      <c r="A28" s="809">
        <v>2</v>
      </c>
      <c r="B28" s="810" t="s">
        <v>1406</v>
      </c>
      <c r="C28" s="810"/>
      <c r="D28" s="806"/>
      <c r="E28" s="806"/>
      <c r="F28" s="806"/>
      <c r="G28" s="806"/>
      <c r="H28" s="806"/>
      <c r="I28" s="806"/>
      <c r="J28" s="806"/>
      <c r="K28" s="806"/>
      <c r="L28" s="807" t="s">
        <v>18</v>
      </c>
      <c r="M28" s="175" t="s">
        <v>1028</v>
      </c>
      <c r="N28" s="749" t="s">
        <v>352</v>
      </c>
      <c r="O28" s="177">
        <v>0</v>
      </c>
      <c r="P28" s="177">
        <v>0</v>
      </c>
      <c r="Q28" s="177">
        <v>0</v>
      </c>
      <c r="R28" s="177">
        <v>0</v>
      </c>
      <c r="S28" s="177">
        <v>0</v>
      </c>
      <c r="T28" s="177">
        <v>0</v>
      </c>
      <c r="U28" s="177">
        <v>0</v>
      </c>
      <c r="V28" s="177">
        <v>0</v>
      </c>
      <c r="W28" s="177">
        <v>0</v>
      </c>
      <c r="X28" s="177">
        <v>0</v>
      </c>
      <c r="Y28" s="177">
        <v>0</v>
      </c>
      <c r="Z28" s="177">
        <v>0</v>
      </c>
      <c r="AA28" s="177">
        <v>0</v>
      </c>
      <c r="AB28" s="177">
        <v>0</v>
      </c>
      <c r="AC28" s="177">
        <v>0</v>
      </c>
      <c r="AD28" s="177">
        <v>0</v>
      </c>
      <c r="AE28" s="177">
        <v>0</v>
      </c>
      <c r="AF28" s="177">
        <v>0</v>
      </c>
      <c r="AG28" s="177">
        <v>0</v>
      </c>
      <c r="AH28" s="177">
        <v>0</v>
      </c>
      <c r="AI28" s="177">
        <v>0</v>
      </c>
      <c r="AJ28" s="177">
        <v>0</v>
      </c>
      <c r="AK28" s="177">
        <v>0</v>
      </c>
      <c r="AL28" s="177">
        <v>0</v>
      </c>
      <c r="AM28" s="796"/>
    </row>
    <row r="29" spans="1:39" s="90" customFormat="1" ht="22.8">
      <c r="A29" s="809">
        <v>2</v>
      </c>
      <c r="B29" s="810" t="s">
        <v>1438</v>
      </c>
      <c r="C29" s="810"/>
      <c r="D29" s="806"/>
      <c r="E29" s="806"/>
      <c r="F29" s="806"/>
      <c r="G29" s="806"/>
      <c r="H29" s="806"/>
      <c r="I29" s="806"/>
      <c r="J29" s="806"/>
      <c r="K29" s="806"/>
      <c r="L29" s="807" t="s">
        <v>102</v>
      </c>
      <c r="M29" s="175" t="s">
        <v>1142</v>
      </c>
      <c r="N29" s="747" t="s">
        <v>1209</v>
      </c>
      <c r="O29" s="177">
        <v>0</v>
      </c>
      <c r="P29" s="177">
        <v>0</v>
      </c>
      <c r="Q29" s="177">
        <v>0</v>
      </c>
      <c r="R29" s="177">
        <v>0</v>
      </c>
      <c r="S29" s="177">
        <v>0</v>
      </c>
      <c r="T29" s="177">
        <v>0</v>
      </c>
      <c r="U29" s="177">
        <v>0</v>
      </c>
      <c r="V29" s="177">
        <v>0</v>
      </c>
      <c r="W29" s="177">
        <v>0</v>
      </c>
      <c r="X29" s="177">
        <v>0</v>
      </c>
      <c r="Y29" s="177">
        <v>0</v>
      </c>
      <c r="Z29" s="177">
        <v>0</v>
      </c>
      <c r="AA29" s="177">
        <v>0</v>
      </c>
      <c r="AB29" s="177">
        <v>0</v>
      </c>
      <c r="AC29" s="177">
        <v>0</v>
      </c>
      <c r="AD29" s="177">
        <v>0</v>
      </c>
      <c r="AE29" s="177">
        <v>0</v>
      </c>
      <c r="AF29" s="177">
        <v>0</v>
      </c>
      <c r="AG29" s="177">
        <v>0</v>
      </c>
      <c r="AH29" s="177">
        <v>0</v>
      </c>
      <c r="AI29" s="177">
        <v>0</v>
      </c>
      <c r="AJ29" s="177">
        <v>0</v>
      </c>
      <c r="AK29" s="177">
        <v>0</v>
      </c>
      <c r="AL29" s="177">
        <v>0</v>
      </c>
      <c r="AM29" s="796"/>
    </row>
    <row r="30" spans="1:39" s="90" customFormat="1">
      <c r="A30" s="809">
        <v>2</v>
      </c>
      <c r="B30" s="810" t="s">
        <v>1442</v>
      </c>
      <c r="C30" s="810"/>
      <c r="D30" s="806"/>
      <c r="E30" s="806"/>
      <c r="F30" s="806"/>
      <c r="G30" s="806"/>
      <c r="H30" s="806"/>
      <c r="I30" s="806"/>
      <c r="J30" s="806"/>
      <c r="K30" s="806"/>
      <c r="L30" s="807" t="s">
        <v>103</v>
      </c>
      <c r="M30" s="175" t="s">
        <v>1143</v>
      </c>
      <c r="N30" s="747" t="s">
        <v>485</v>
      </c>
      <c r="O30" s="811"/>
      <c r="P30" s="811"/>
      <c r="Q30" s="811"/>
      <c r="R30" s="811"/>
      <c r="S30" s="811"/>
      <c r="T30" s="811"/>
      <c r="U30" s="811"/>
      <c r="V30" s="811"/>
      <c r="W30" s="811"/>
      <c r="X30" s="811"/>
      <c r="Y30" s="811"/>
      <c r="Z30" s="811"/>
      <c r="AA30" s="811"/>
      <c r="AB30" s="811"/>
      <c r="AC30" s="811"/>
      <c r="AD30" s="811"/>
      <c r="AE30" s="811"/>
      <c r="AF30" s="811"/>
      <c r="AG30" s="811"/>
      <c r="AH30" s="811"/>
      <c r="AI30" s="811"/>
      <c r="AJ30" s="811"/>
      <c r="AK30" s="811"/>
      <c r="AL30" s="811"/>
      <c r="AM30" s="796"/>
    </row>
    <row r="31" spans="1:39" s="90" customFormat="1">
      <c r="A31" s="809">
        <v>2</v>
      </c>
      <c r="B31" s="810" t="s">
        <v>1444</v>
      </c>
      <c r="C31" s="810"/>
      <c r="D31" s="806"/>
      <c r="E31" s="806"/>
      <c r="F31" s="806"/>
      <c r="G31" s="806"/>
      <c r="H31" s="806"/>
      <c r="I31" s="806"/>
      <c r="J31" s="806"/>
      <c r="K31" s="806"/>
      <c r="L31" s="807" t="s">
        <v>104</v>
      </c>
      <c r="M31" s="175" t="s">
        <v>354</v>
      </c>
      <c r="N31" s="747" t="s">
        <v>487</v>
      </c>
      <c r="O31" s="177">
        <v>0</v>
      </c>
      <c r="P31" s="177">
        <v>0</v>
      </c>
      <c r="Q31" s="177">
        <v>0</v>
      </c>
      <c r="R31" s="177">
        <v>0</v>
      </c>
      <c r="S31" s="177">
        <v>0</v>
      </c>
      <c r="T31" s="177">
        <v>0</v>
      </c>
      <c r="U31" s="177">
        <v>0</v>
      </c>
      <c r="V31" s="177">
        <v>0</v>
      </c>
      <c r="W31" s="177">
        <v>0</v>
      </c>
      <c r="X31" s="177">
        <v>0</v>
      </c>
      <c r="Y31" s="177">
        <v>0</v>
      </c>
      <c r="Z31" s="177">
        <v>0</v>
      </c>
      <c r="AA31" s="177">
        <v>0</v>
      </c>
      <c r="AB31" s="177">
        <v>0</v>
      </c>
      <c r="AC31" s="177">
        <v>0</v>
      </c>
      <c r="AD31" s="177">
        <v>0</v>
      </c>
      <c r="AE31" s="177">
        <v>0</v>
      </c>
      <c r="AF31" s="177">
        <v>0</v>
      </c>
      <c r="AG31" s="177">
        <v>0</v>
      </c>
      <c r="AH31" s="177">
        <v>0</v>
      </c>
      <c r="AI31" s="177">
        <v>0</v>
      </c>
      <c r="AJ31" s="177">
        <v>0</v>
      </c>
      <c r="AK31" s="177">
        <v>0</v>
      </c>
      <c r="AL31" s="177">
        <v>0</v>
      </c>
      <c r="AM31" s="796"/>
    </row>
    <row r="32" spans="1:39" s="90" customFormat="1">
      <c r="A32" s="809">
        <v>2</v>
      </c>
      <c r="B32" s="810" t="s">
        <v>1446</v>
      </c>
      <c r="C32" s="810"/>
      <c r="D32" s="806"/>
      <c r="E32" s="806"/>
      <c r="F32" s="806"/>
      <c r="G32" s="806"/>
      <c r="H32" s="806"/>
      <c r="I32" s="806"/>
      <c r="J32" s="806"/>
      <c r="K32" s="806"/>
      <c r="L32" s="807" t="s">
        <v>120</v>
      </c>
      <c r="M32" s="175" t="s">
        <v>355</v>
      </c>
      <c r="N32" s="747" t="s">
        <v>483</v>
      </c>
      <c r="O32" s="812">
        <v>0</v>
      </c>
      <c r="P32" s="812">
        <v>0</v>
      </c>
      <c r="Q32" s="812">
        <v>0</v>
      </c>
      <c r="R32" s="812">
        <v>0</v>
      </c>
      <c r="S32" s="812">
        <v>0</v>
      </c>
      <c r="T32" s="812">
        <v>0</v>
      </c>
      <c r="U32" s="812">
        <v>0</v>
      </c>
      <c r="V32" s="812">
        <v>0</v>
      </c>
      <c r="W32" s="812">
        <v>0</v>
      </c>
      <c r="X32" s="812">
        <v>0</v>
      </c>
      <c r="Y32" s="812">
        <v>0</v>
      </c>
      <c r="Z32" s="812">
        <v>0</v>
      </c>
      <c r="AA32" s="812">
        <v>0</v>
      </c>
      <c r="AB32" s="812">
        <v>0</v>
      </c>
      <c r="AC32" s="812">
        <v>0</v>
      </c>
      <c r="AD32" s="812">
        <v>0</v>
      </c>
      <c r="AE32" s="812">
        <v>0</v>
      </c>
      <c r="AF32" s="812">
        <v>0</v>
      </c>
      <c r="AG32" s="812">
        <v>0</v>
      </c>
      <c r="AH32" s="812">
        <v>0</v>
      </c>
      <c r="AI32" s="812">
        <v>0</v>
      </c>
      <c r="AJ32" s="812">
        <v>0</v>
      </c>
      <c r="AK32" s="812">
        <v>0</v>
      </c>
      <c r="AL32" s="812">
        <v>0</v>
      </c>
      <c r="AM32" s="796"/>
    </row>
    <row r="33" spans="1:39" s="90" customFormat="1" ht="22.8">
      <c r="A33" s="809">
        <v>2</v>
      </c>
      <c r="B33" s="810"/>
      <c r="C33" s="810"/>
      <c r="D33" s="806"/>
      <c r="E33" s="806"/>
      <c r="F33" s="806"/>
      <c r="G33" s="806"/>
      <c r="H33" s="806"/>
      <c r="I33" s="806"/>
      <c r="J33" s="813" t="s">
        <v>1032</v>
      </c>
      <c r="K33" s="806"/>
      <c r="L33" s="814"/>
      <c r="M33" s="815" t="s">
        <v>1129</v>
      </c>
      <c r="N33" s="816"/>
      <c r="O33" s="817"/>
      <c r="P33" s="817"/>
      <c r="Q33" s="817"/>
      <c r="R33" s="817"/>
      <c r="S33" s="817"/>
      <c r="T33" s="817"/>
      <c r="U33" s="817"/>
      <c r="V33" s="817"/>
      <c r="W33" s="817"/>
      <c r="X33" s="817"/>
      <c r="Y33" s="817"/>
      <c r="Z33" s="817"/>
      <c r="AA33" s="817"/>
      <c r="AB33" s="817"/>
      <c r="AC33" s="817"/>
      <c r="AD33" s="817"/>
      <c r="AE33" s="817"/>
      <c r="AF33" s="817"/>
      <c r="AG33" s="817"/>
      <c r="AH33" s="817"/>
      <c r="AI33" s="817"/>
      <c r="AJ33" s="817"/>
      <c r="AK33" s="817"/>
      <c r="AL33" s="817"/>
      <c r="AM33" s="818"/>
    </row>
    <row r="34" spans="1:39" s="90" customFormat="1" ht="13.8">
      <c r="A34" s="819">
        <v>2</v>
      </c>
      <c r="B34" s="810" t="s">
        <v>1448</v>
      </c>
      <c r="C34" s="810" t="s">
        <v>1193</v>
      </c>
      <c r="D34" s="806"/>
      <c r="E34" s="806"/>
      <c r="F34" s="806"/>
      <c r="G34" s="806"/>
      <c r="H34" s="806"/>
      <c r="I34" s="806"/>
      <c r="J34" s="1127" t="s">
        <v>179</v>
      </c>
      <c r="K34" s="662"/>
      <c r="L34" s="807" t="s">
        <v>179</v>
      </c>
      <c r="M34" s="820" t="s">
        <v>1193</v>
      </c>
      <c r="N34" s="749" t="s">
        <v>352</v>
      </c>
      <c r="O34" s="821"/>
      <c r="P34" s="821"/>
      <c r="Q34" s="821"/>
      <c r="R34" s="821"/>
      <c r="S34" s="821"/>
      <c r="T34" s="821"/>
      <c r="U34" s="821"/>
      <c r="V34" s="821"/>
      <c r="W34" s="821"/>
      <c r="X34" s="821"/>
      <c r="Y34" s="821"/>
      <c r="Z34" s="821"/>
      <c r="AA34" s="821"/>
      <c r="AB34" s="821"/>
      <c r="AC34" s="821"/>
      <c r="AD34" s="821"/>
      <c r="AE34" s="821"/>
      <c r="AF34" s="821"/>
      <c r="AG34" s="821"/>
      <c r="AH34" s="821"/>
      <c r="AI34" s="821"/>
      <c r="AJ34" s="821"/>
      <c r="AK34" s="821"/>
      <c r="AL34" s="821"/>
      <c r="AM34" s="796"/>
    </row>
    <row r="35" spans="1:39" s="90" customFormat="1">
      <c r="A35" s="819">
        <v>2</v>
      </c>
      <c r="B35" s="810" t="s">
        <v>1645</v>
      </c>
      <c r="C35" s="810" t="s">
        <v>1193</v>
      </c>
      <c r="D35" s="806"/>
      <c r="E35" s="806"/>
      <c r="F35" s="806"/>
      <c r="G35" s="806"/>
      <c r="H35" s="806"/>
      <c r="I35" s="806"/>
      <c r="J35" s="1127"/>
      <c r="K35" s="806"/>
      <c r="L35" s="822" t="s">
        <v>1283</v>
      </c>
      <c r="M35" s="194" t="s">
        <v>1033</v>
      </c>
      <c r="N35" s="747" t="s">
        <v>487</v>
      </c>
      <c r="O35" s="808">
        <v>0</v>
      </c>
      <c r="P35" s="808">
        <v>0</v>
      </c>
      <c r="Q35" s="808">
        <v>0</v>
      </c>
      <c r="R35" s="808">
        <v>0</v>
      </c>
      <c r="S35" s="808">
        <v>0</v>
      </c>
      <c r="T35" s="808">
        <v>0</v>
      </c>
      <c r="U35" s="808">
        <v>0</v>
      </c>
      <c r="V35" s="808">
        <v>0</v>
      </c>
      <c r="W35" s="808">
        <v>0</v>
      </c>
      <c r="X35" s="808">
        <v>0</v>
      </c>
      <c r="Y35" s="808">
        <v>0</v>
      </c>
      <c r="Z35" s="808">
        <v>0</v>
      </c>
      <c r="AA35" s="808">
        <v>0</v>
      </c>
      <c r="AB35" s="808">
        <v>0</v>
      </c>
      <c r="AC35" s="808">
        <v>0</v>
      </c>
      <c r="AD35" s="808">
        <v>0</v>
      </c>
      <c r="AE35" s="808">
        <v>0</v>
      </c>
      <c r="AF35" s="808">
        <v>0</v>
      </c>
      <c r="AG35" s="808">
        <v>0</v>
      </c>
      <c r="AH35" s="808">
        <v>0</v>
      </c>
      <c r="AI35" s="808">
        <v>0</v>
      </c>
      <c r="AJ35" s="808">
        <v>0</v>
      </c>
      <c r="AK35" s="808">
        <v>0</v>
      </c>
      <c r="AL35" s="808">
        <v>0</v>
      </c>
      <c r="AM35" s="796"/>
    </row>
    <row r="36" spans="1:39" s="90" customFormat="1">
      <c r="A36" s="819">
        <v>2</v>
      </c>
      <c r="B36" s="810" t="s">
        <v>1646</v>
      </c>
      <c r="C36" s="810" t="s">
        <v>1193</v>
      </c>
      <c r="D36" s="806"/>
      <c r="E36" s="806"/>
      <c r="F36" s="806"/>
      <c r="G36" s="806"/>
      <c r="H36" s="806"/>
      <c r="I36" s="806"/>
      <c r="J36" s="1127"/>
      <c r="K36" s="806"/>
      <c r="L36" s="822" t="s">
        <v>1284</v>
      </c>
      <c r="M36" s="194" t="s">
        <v>1144</v>
      </c>
      <c r="N36" s="747" t="s">
        <v>1209</v>
      </c>
      <c r="O36" s="821"/>
      <c r="P36" s="821"/>
      <c r="Q36" s="821"/>
      <c r="R36" s="821"/>
      <c r="S36" s="821"/>
      <c r="T36" s="821"/>
      <c r="U36" s="821"/>
      <c r="V36" s="821"/>
      <c r="W36" s="821"/>
      <c r="X36" s="821"/>
      <c r="Y36" s="821"/>
      <c r="Z36" s="821"/>
      <c r="AA36" s="821"/>
      <c r="AB36" s="821"/>
      <c r="AC36" s="821"/>
      <c r="AD36" s="821"/>
      <c r="AE36" s="821"/>
      <c r="AF36" s="821"/>
      <c r="AG36" s="821"/>
      <c r="AH36" s="821"/>
      <c r="AI36" s="821"/>
      <c r="AJ36" s="821"/>
      <c r="AK36" s="821"/>
      <c r="AL36" s="821"/>
      <c r="AM36" s="796"/>
    </row>
    <row r="37" spans="1:39" s="90" customFormat="1" ht="22.8">
      <c r="A37" s="809">
        <v>2</v>
      </c>
      <c r="B37" s="810"/>
      <c r="C37" s="810"/>
      <c r="D37" s="806"/>
      <c r="E37" s="806"/>
      <c r="F37" s="806"/>
      <c r="G37" s="806"/>
      <c r="H37" s="806"/>
      <c r="I37" s="806"/>
      <c r="J37" s="813" t="s">
        <v>1113</v>
      </c>
      <c r="K37" s="806"/>
      <c r="L37" s="814"/>
      <c r="M37" s="815" t="s">
        <v>1130</v>
      </c>
      <c r="N37" s="816"/>
      <c r="O37" s="817"/>
      <c r="P37" s="817"/>
      <c r="Q37" s="817"/>
      <c r="R37" s="817"/>
      <c r="S37" s="817"/>
      <c r="T37" s="817"/>
      <c r="U37" s="817"/>
      <c r="V37" s="817"/>
      <c r="W37" s="817"/>
      <c r="X37" s="817"/>
      <c r="Y37" s="817"/>
      <c r="Z37" s="817"/>
      <c r="AA37" s="817"/>
      <c r="AB37" s="817"/>
      <c r="AC37" s="817"/>
      <c r="AD37" s="817"/>
      <c r="AE37" s="817"/>
      <c r="AF37" s="817"/>
      <c r="AG37" s="817"/>
      <c r="AH37" s="817"/>
      <c r="AI37" s="817"/>
      <c r="AJ37" s="817"/>
      <c r="AK37" s="817"/>
      <c r="AL37" s="817"/>
      <c r="AM37" s="818"/>
    </row>
    <row r="38" spans="1:39">
      <c r="A38" s="781"/>
      <c r="B38" s="781"/>
      <c r="C38" s="781"/>
      <c r="D38" s="781"/>
      <c r="E38" s="781"/>
      <c r="F38" s="781"/>
      <c r="G38" s="781"/>
      <c r="H38" s="781"/>
      <c r="I38" s="781"/>
      <c r="J38" s="781"/>
      <c r="K38" s="781"/>
      <c r="L38" s="781"/>
      <c r="M38" s="781"/>
      <c r="N38" s="781"/>
      <c r="O38" s="781"/>
      <c r="P38" s="781"/>
      <c r="Q38" s="781"/>
      <c r="R38" s="781"/>
      <c r="S38" s="781"/>
      <c r="T38" s="781"/>
      <c r="U38" s="781"/>
      <c r="V38" s="781"/>
      <c r="W38" s="781"/>
      <c r="X38" s="781"/>
      <c r="Y38" s="781"/>
      <c r="Z38" s="781"/>
      <c r="AA38" s="781"/>
      <c r="AB38" s="781"/>
      <c r="AC38" s="781"/>
      <c r="AD38" s="781"/>
      <c r="AE38" s="781"/>
      <c r="AF38" s="781"/>
      <c r="AG38" s="781"/>
      <c r="AH38" s="781"/>
      <c r="AI38" s="781"/>
      <c r="AJ38" s="781"/>
      <c r="AK38" s="781"/>
      <c r="AL38" s="781"/>
      <c r="AM38" s="781"/>
    </row>
    <row r="39" spans="1:39">
      <c r="A39" s="781"/>
      <c r="B39" s="781"/>
      <c r="C39" s="781"/>
      <c r="D39" s="781"/>
      <c r="E39" s="781"/>
      <c r="F39" s="781"/>
      <c r="G39" s="781"/>
      <c r="H39" s="781"/>
      <c r="I39" s="781"/>
      <c r="J39" s="781"/>
      <c r="K39" s="781"/>
      <c r="L39" s="781"/>
      <c r="M39" s="781"/>
      <c r="N39" s="781"/>
      <c r="O39" s="781"/>
      <c r="P39" s="781"/>
      <c r="Q39" s="781"/>
      <c r="R39" s="781"/>
      <c r="S39" s="781"/>
      <c r="T39" s="781"/>
      <c r="U39" s="781"/>
      <c r="V39" s="781"/>
      <c r="W39" s="781"/>
      <c r="X39" s="781"/>
      <c r="Y39" s="781"/>
      <c r="Z39" s="781"/>
      <c r="AA39" s="781"/>
      <c r="AB39" s="781"/>
      <c r="AC39" s="781"/>
      <c r="AD39" s="781"/>
      <c r="AE39" s="781"/>
      <c r="AF39" s="781"/>
      <c r="AG39" s="781"/>
      <c r="AH39" s="781"/>
      <c r="AI39" s="781"/>
      <c r="AJ39" s="781"/>
      <c r="AK39" s="781"/>
      <c r="AL39" s="781"/>
      <c r="AM39" s="781"/>
    </row>
    <row r="40" spans="1:39" ht="15" customHeight="1">
      <c r="A40" s="781"/>
      <c r="B40" s="781"/>
      <c r="C40" s="781"/>
      <c r="D40" s="781"/>
      <c r="E40" s="781"/>
      <c r="F40" s="781"/>
      <c r="G40" s="781"/>
      <c r="H40" s="781"/>
      <c r="I40" s="781"/>
      <c r="J40" s="781"/>
      <c r="K40" s="781"/>
      <c r="L40" s="1122" t="s">
        <v>1367</v>
      </c>
      <c r="M40" s="1122"/>
      <c r="N40" s="1122"/>
      <c r="O40" s="1122"/>
      <c r="P40" s="1122"/>
      <c r="Q40" s="1122"/>
      <c r="R40" s="1122"/>
      <c r="S40" s="1123"/>
      <c r="T40" s="1123"/>
      <c r="U40" s="1123"/>
      <c r="V40" s="1123"/>
      <c r="W40" s="1123"/>
      <c r="X40" s="1123"/>
      <c r="Y40" s="1123"/>
      <c r="Z40" s="1123"/>
      <c r="AA40" s="1123"/>
      <c r="AB40" s="1123"/>
      <c r="AC40" s="1123"/>
      <c r="AD40" s="1123"/>
      <c r="AE40" s="1123"/>
      <c r="AF40" s="1123"/>
      <c r="AG40" s="1123"/>
      <c r="AH40" s="1123"/>
      <c r="AI40" s="1123"/>
      <c r="AJ40" s="1123"/>
      <c r="AK40" s="1123"/>
      <c r="AL40" s="1123"/>
      <c r="AM40" s="1123"/>
    </row>
    <row r="41" spans="1:39" ht="81" customHeight="1">
      <c r="A41" s="781"/>
      <c r="B41" s="781"/>
      <c r="C41" s="781"/>
      <c r="D41" s="781"/>
      <c r="E41" s="781"/>
      <c r="F41" s="781"/>
      <c r="G41" s="781"/>
      <c r="H41" s="781"/>
      <c r="I41" s="781"/>
      <c r="J41" s="781"/>
      <c r="K41" s="662"/>
      <c r="L41" s="1128" t="s">
        <v>2980</v>
      </c>
      <c r="M41" s="1124"/>
      <c r="N41" s="1124"/>
      <c r="O41" s="1124"/>
      <c r="P41" s="1124"/>
      <c r="Q41" s="1124"/>
      <c r="R41" s="1124"/>
      <c r="S41" s="1125"/>
      <c r="T41" s="1125"/>
      <c r="U41" s="1125"/>
      <c r="V41" s="1125"/>
      <c r="W41" s="1125"/>
      <c r="X41" s="1125"/>
      <c r="Y41" s="1125"/>
      <c r="Z41" s="1125"/>
      <c r="AA41" s="1125"/>
      <c r="AB41" s="1125"/>
      <c r="AC41" s="1125"/>
      <c r="AD41" s="1125"/>
      <c r="AE41" s="1125"/>
      <c r="AF41" s="1125"/>
      <c r="AG41" s="1125"/>
      <c r="AH41" s="1125"/>
      <c r="AI41" s="1125"/>
      <c r="AJ41" s="1125"/>
      <c r="AK41" s="1125"/>
      <c r="AL41" s="1125"/>
      <c r="AM41" s="1125"/>
    </row>
    <row r="42" spans="1:39" ht="31.8" customHeight="1">
      <c r="A42" s="781"/>
      <c r="B42" s="781"/>
      <c r="C42" s="781"/>
      <c r="D42" s="781"/>
      <c r="E42" s="781"/>
      <c r="F42" s="781"/>
      <c r="G42" s="781"/>
      <c r="H42" s="781"/>
      <c r="I42" s="781"/>
      <c r="J42" s="781"/>
      <c r="K42" s="662" t="s">
        <v>3055</v>
      </c>
      <c r="L42" s="1128" t="s">
        <v>2981</v>
      </c>
      <c r="M42" s="1124"/>
      <c r="N42" s="1124"/>
      <c r="O42" s="1124"/>
      <c r="P42" s="1124"/>
      <c r="Q42" s="1124"/>
      <c r="R42" s="1124"/>
      <c r="S42" s="1125"/>
      <c r="T42" s="1125"/>
      <c r="U42" s="1125"/>
      <c r="V42" s="1125"/>
      <c r="W42" s="1125"/>
      <c r="X42" s="1125"/>
      <c r="Y42" s="1125"/>
      <c r="Z42" s="1125"/>
      <c r="AA42" s="1125"/>
      <c r="AB42" s="1125"/>
      <c r="AC42" s="1125"/>
      <c r="AD42" s="1125"/>
      <c r="AE42" s="1125"/>
      <c r="AF42" s="1125"/>
      <c r="AG42" s="1125"/>
      <c r="AH42" s="1125"/>
      <c r="AI42" s="1125"/>
      <c r="AJ42" s="1125"/>
      <c r="AK42" s="1125"/>
      <c r="AL42" s="1125"/>
      <c r="AM42" s="1125"/>
    </row>
  </sheetData>
  <sheetProtection formatColumns="0" formatRows="0" autoFilter="0"/>
  <mergeCells count="9">
    <mergeCell ref="J34:J36"/>
    <mergeCell ref="L42:AM42"/>
    <mergeCell ref="L40:AM40"/>
    <mergeCell ref="L41:AM41"/>
    <mergeCell ref="L14:L15"/>
    <mergeCell ref="M14:M15"/>
    <mergeCell ref="N14:N15"/>
    <mergeCell ref="AM14:AM15"/>
    <mergeCell ref="J23:J25"/>
  </mergeCells>
  <dataValidations count="3">
    <dataValidation type="textLength" operator="lessThanOrEqual" allowBlank="1" showInputMessage="1" showErrorMessage="1" errorTitle="Ошибка" error="Допускается ввод не более 900 символов!" sqref="AM17:AM21 AM23:AM25 AM28:AM32 AM34:AM36">
      <formula1>900</formula1>
    </dataValidation>
    <dataValidation type="decimal" allowBlank="1" showErrorMessage="1" errorTitle="Ошибка" error="Допускается ввод только неотрицательных чисел!" sqref="O25:AL25 O23:AL23 O36:AL36 O34:AL34">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M34">
      <formula1>VOLTAGE_LEVEL_list</formula1>
    </dataValidation>
  </dataValidations>
  <printOptions horizontalCentered="1"/>
  <pageMargins left="0.35433070866141736" right="0.35433070866141736" top="0.39370078740157483" bottom="0.47244094488188981" header="7.874015748031496E-2" footer="7.874015748031496E-2"/>
  <pageSetup paperSize="9" scale="75" firstPageNumber="12" fitToWidth="0" fitToHeight="0" orientation="landscape" useFirstPageNumber="1"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rgb="FFFFCC99"/>
  </sheetPr>
  <dimension ref="A1"/>
  <sheetViews>
    <sheetView workbookViewId="0"/>
  </sheetViews>
  <sheetFormatPr defaultRowHeight="11.4"/>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sheetPr>
  <dimension ref="A1:AM137"/>
  <sheetViews>
    <sheetView showGridLines="0" view="pageBreakPreview" zoomScale="60" zoomScaleNormal="100" workbookViewId="0">
      <pane xSplit="14" ySplit="15" topLeftCell="O88" activePane="bottomRight" state="frozen"/>
      <selection activeCell="M11" sqref="M11"/>
      <selection pane="topRight" activeCell="M11" sqref="M11"/>
      <selection pane="bottomLeft" activeCell="M11" sqref="M11"/>
      <selection pane="bottomRight" activeCell="O61" sqref="O61:AC61"/>
    </sheetView>
  </sheetViews>
  <sheetFormatPr defaultColWidth="8.75" defaultRowHeight="11.4"/>
  <cols>
    <col min="1" max="10" width="2.75" style="91" hidden="1" customWidth="1"/>
    <col min="11" max="11" width="3.75" style="91" hidden="1" customWidth="1"/>
    <col min="12" max="12" width="7.875" style="91" customWidth="1"/>
    <col min="13" max="13" width="42.375" style="91" customWidth="1"/>
    <col min="14" max="14" width="11.75" style="92" bestFit="1" customWidth="1"/>
    <col min="15" max="19" width="13.25" style="92" customWidth="1"/>
    <col min="20" max="28" width="13.25" style="92" hidden="1" customWidth="1"/>
    <col min="29" max="29" width="13.25" style="92" customWidth="1"/>
    <col min="30" max="38" width="13.25" style="92" hidden="1" customWidth="1"/>
    <col min="39" max="39" width="20.75" style="91" customWidth="1"/>
    <col min="40" max="16384" width="8.75" style="91"/>
  </cols>
  <sheetData>
    <row r="1" spans="1:39" hidden="1">
      <c r="A1" s="823"/>
      <c r="B1" s="823"/>
      <c r="C1" s="823"/>
      <c r="D1" s="823"/>
      <c r="E1" s="823"/>
      <c r="F1" s="823"/>
      <c r="G1" s="823"/>
      <c r="H1" s="823"/>
      <c r="I1" s="823"/>
      <c r="J1" s="823"/>
      <c r="K1" s="823"/>
      <c r="L1" s="823"/>
      <c r="M1" s="823"/>
      <c r="N1" s="824"/>
      <c r="O1" s="824">
        <v>2022</v>
      </c>
      <c r="P1" s="824">
        <v>2022</v>
      </c>
      <c r="Q1" s="824">
        <v>2022</v>
      </c>
      <c r="R1" s="824">
        <v>2023</v>
      </c>
      <c r="S1" s="781">
        <v>2024</v>
      </c>
      <c r="T1" s="781">
        <v>2025</v>
      </c>
      <c r="U1" s="781">
        <v>2026</v>
      </c>
      <c r="V1" s="781">
        <v>2027</v>
      </c>
      <c r="W1" s="781">
        <v>2028</v>
      </c>
      <c r="X1" s="781">
        <v>2029</v>
      </c>
      <c r="Y1" s="781">
        <v>2030</v>
      </c>
      <c r="Z1" s="781">
        <v>2031</v>
      </c>
      <c r="AA1" s="781">
        <v>2032</v>
      </c>
      <c r="AB1" s="781">
        <v>2033</v>
      </c>
      <c r="AC1" s="781">
        <v>2024</v>
      </c>
      <c r="AD1" s="781">
        <v>2025</v>
      </c>
      <c r="AE1" s="781">
        <v>2026</v>
      </c>
      <c r="AF1" s="781">
        <v>2027</v>
      </c>
      <c r="AG1" s="781">
        <v>2028</v>
      </c>
      <c r="AH1" s="781">
        <v>2029</v>
      </c>
      <c r="AI1" s="781">
        <v>2030</v>
      </c>
      <c r="AJ1" s="781">
        <v>2031</v>
      </c>
      <c r="AK1" s="781">
        <v>2032</v>
      </c>
      <c r="AL1" s="781">
        <v>2033</v>
      </c>
      <c r="AM1" s="823"/>
    </row>
    <row r="2" spans="1:39" hidden="1">
      <c r="A2" s="823"/>
      <c r="B2" s="823"/>
      <c r="C2" s="823"/>
      <c r="D2" s="823"/>
      <c r="E2" s="823"/>
      <c r="F2" s="823"/>
      <c r="G2" s="823"/>
      <c r="H2" s="823"/>
      <c r="I2" s="823"/>
      <c r="J2" s="823"/>
      <c r="K2" s="823"/>
      <c r="L2" s="823"/>
      <c r="M2" s="823"/>
      <c r="N2" s="824"/>
      <c r="O2" s="825" t="s">
        <v>268</v>
      </c>
      <c r="P2" s="825" t="s">
        <v>306</v>
      </c>
      <c r="Q2" s="825" t="s">
        <v>286</v>
      </c>
      <c r="R2" s="825" t="s">
        <v>268</v>
      </c>
      <c r="S2" s="825" t="s">
        <v>269</v>
      </c>
      <c r="T2" s="825" t="s">
        <v>269</v>
      </c>
      <c r="U2" s="825" t="s">
        <v>269</v>
      </c>
      <c r="V2" s="825" t="s">
        <v>269</v>
      </c>
      <c r="W2" s="825" t="s">
        <v>269</v>
      </c>
      <c r="X2" s="825" t="s">
        <v>269</v>
      </c>
      <c r="Y2" s="825" t="s">
        <v>269</v>
      </c>
      <c r="Z2" s="825" t="s">
        <v>269</v>
      </c>
      <c r="AA2" s="825" t="s">
        <v>269</v>
      </c>
      <c r="AB2" s="825" t="s">
        <v>269</v>
      </c>
      <c r="AC2" s="825" t="s">
        <v>268</v>
      </c>
      <c r="AD2" s="825" t="s">
        <v>268</v>
      </c>
      <c r="AE2" s="825" t="s">
        <v>268</v>
      </c>
      <c r="AF2" s="825" t="s">
        <v>268</v>
      </c>
      <c r="AG2" s="825" t="s">
        <v>268</v>
      </c>
      <c r="AH2" s="825" t="s">
        <v>268</v>
      </c>
      <c r="AI2" s="825" t="s">
        <v>268</v>
      </c>
      <c r="AJ2" s="825" t="s">
        <v>268</v>
      </c>
      <c r="AK2" s="825" t="s">
        <v>268</v>
      </c>
      <c r="AL2" s="825" t="s">
        <v>268</v>
      </c>
      <c r="AM2" s="823"/>
    </row>
    <row r="3" spans="1:39" hidden="1">
      <c r="A3" s="823"/>
      <c r="B3" s="823"/>
      <c r="C3" s="823"/>
      <c r="D3" s="823"/>
      <c r="E3" s="823"/>
      <c r="F3" s="823"/>
      <c r="G3" s="823"/>
      <c r="H3" s="823"/>
      <c r="I3" s="823"/>
      <c r="J3" s="823"/>
      <c r="K3" s="823"/>
      <c r="L3" s="823"/>
      <c r="M3" s="823"/>
      <c r="N3" s="824"/>
      <c r="O3" s="824"/>
      <c r="P3" s="824"/>
      <c r="Q3" s="824"/>
      <c r="R3" s="824"/>
      <c r="S3" s="781"/>
      <c r="T3" s="781"/>
      <c r="U3" s="781"/>
      <c r="V3" s="781"/>
      <c r="W3" s="781"/>
      <c r="X3" s="781"/>
      <c r="Y3" s="781"/>
      <c r="Z3" s="781"/>
      <c r="AA3" s="781"/>
      <c r="AB3" s="781"/>
      <c r="AC3" s="781"/>
      <c r="AD3" s="781"/>
      <c r="AE3" s="781"/>
      <c r="AF3" s="781"/>
      <c r="AG3" s="781"/>
      <c r="AH3" s="781"/>
      <c r="AI3" s="781"/>
      <c r="AJ3" s="781"/>
      <c r="AK3" s="781"/>
      <c r="AL3" s="781"/>
      <c r="AM3" s="823"/>
    </row>
    <row r="4" spans="1:39" hidden="1">
      <c r="A4" s="823"/>
      <c r="B4" s="823"/>
      <c r="C4" s="823"/>
      <c r="D4" s="823"/>
      <c r="E4" s="823"/>
      <c r="F4" s="823"/>
      <c r="G4" s="823"/>
      <c r="H4" s="823"/>
      <c r="I4" s="823"/>
      <c r="J4" s="823"/>
      <c r="K4" s="823"/>
      <c r="L4" s="823"/>
      <c r="M4" s="823"/>
      <c r="N4" s="824"/>
      <c r="O4" s="824"/>
      <c r="P4" s="824"/>
      <c r="Q4" s="824"/>
      <c r="R4" s="824"/>
      <c r="S4" s="781"/>
      <c r="T4" s="781"/>
      <c r="U4" s="781"/>
      <c r="V4" s="781"/>
      <c r="W4" s="781"/>
      <c r="X4" s="781"/>
      <c r="Y4" s="781"/>
      <c r="Z4" s="781"/>
      <c r="AA4" s="781"/>
      <c r="AB4" s="781"/>
      <c r="AC4" s="781"/>
      <c r="AD4" s="781"/>
      <c r="AE4" s="781"/>
      <c r="AF4" s="781"/>
      <c r="AG4" s="781"/>
      <c r="AH4" s="781"/>
      <c r="AI4" s="781"/>
      <c r="AJ4" s="781"/>
      <c r="AK4" s="781"/>
      <c r="AL4" s="781"/>
      <c r="AM4" s="823"/>
    </row>
    <row r="5" spans="1:39" hidden="1">
      <c r="A5" s="823"/>
      <c r="B5" s="823"/>
      <c r="C5" s="823"/>
      <c r="D5" s="823"/>
      <c r="E5" s="823"/>
      <c r="F5" s="823"/>
      <c r="G5" s="823"/>
      <c r="H5" s="823"/>
      <c r="I5" s="823"/>
      <c r="J5" s="823"/>
      <c r="K5" s="823"/>
      <c r="L5" s="823"/>
      <c r="M5" s="823"/>
      <c r="N5" s="824"/>
      <c r="O5" s="824"/>
      <c r="P5" s="824"/>
      <c r="Q5" s="824"/>
      <c r="R5" s="824"/>
      <c r="S5" s="781"/>
      <c r="T5" s="781"/>
      <c r="U5" s="781"/>
      <c r="V5" s="781"/>
      <c r="W5" s="781"/>
      <c r="X5" s="781"/>
      <c r="Y5" s="781"/>
      <c r="Z5" s="781"/>
      <c r="AA5" s="781"/>
      <c r="AB5" s="781"/>
      <c r="AC5" s="781"/>
      <c r="AD5" s="781"/>
      <c r="AE5" s="781"/>
      <c r="AF5" s="781"/>
      <c r="AG5" s="781"/>
      <c r="AH5" s="781"/>
      <c r="AI5" s="781"/>
      <c r="AJ5" s="781"/>
      <c r="AK5" s="781"/>
      <c r="AL5" s="781"/>
      <c r="AM5" s="823"/>
    </row>
    <row r="6" spans="1:39" hidden="1">
      <c r="A6" s="823"/>
      <c r="B6" s="823"/>
      <c r="C6" s="823"/>
      <c r="D6" s="823"/>
      <c r="E6" s="823"/>
      <c r="F6" s="823"/>
      <c r="G6" s="823"/>
      <c r="H6" s="823"/>
      <c r="I6" s="823"/>
      <c r="J6" s="823"/>
      <c r="K6" s="823"/>
      <c r="L6" s="823"/>
      <c r="M6" s="823"/>
      <c r="N6" s="824"/>
      <c r="O6" s="824"/>
      <c r="P6" s="824"/>
      <c r="Q6" s="824"/>
      <c r="R6" s="824"/>
      <c r="S6" s="781"/>
      <c r="T6" s="781"/>
      <c r="U6" s="781"/>
      <c r="V6" s="781"/>
      <c r="W6" s="781"/>
      <c r="X6" s="781"/>
      <c r="Y6" s="781"/>
      <c r="Z6" s="781"/>
      <c r="AA6" s="781"/>
      <c r="AB6" s="781"/>
      <c r="AC6" s="781"/>
      <c r="AD6" s="781"/>
      <c r="AE6" s="781"/>
      <c r="AF6" s="781"/>
      <c r="AG6" s="781"/>
      <c r="AH6" s="781"/>
      <c r="AI6" s="781"/>
      <c r="AJ6" s="781"/>
      <c r="AK6" s="781"/>
      <c r="AL6" s="781"/>
      <c r="AM6" s="823"/>
    </row>
    <row r="7" spans="1:39" hidden="1">
      <c r="A7" s="823"/>
      <c r="B7" s="823"/>
      <c r="C7" s="823"/>
      <c r="D7" s="823"/>
      <c r="E7" s="823"/>
      <c r="F7" s="823"/>
      <c r="G7" s="823"/>
      <c r="H7" s="823"/>
      <c r="I7" s="823"/>
      <c r="J7" s="823"/>
      <c r="K7" s="823"/>
      <c r="L7" s="823"/>
      <c r="M7" s="823"/>
      <c r="N7" s="824"/>
      <c r="O7" s="824"/>
      <c r="P7" s="824"/>
      <c r="Q7" s="824"/>
      <c r="R7" s="824"/>
      <c r="S7" s="731" t="b">
        <v>1</v>
      </c>
      <c r="T7" s="731" t="b">
        <v>0</v>
      </c>
      <c r="U7" s="731" t="b">
        <v>0</v>
      </c>
      <c r="V7" s="731" t="b">
        <v>0</v>
      </c>
      <c r="W7" s="731" t="b">
        <v>0</v>
      </c>
      <c r="X7" s="731" t="b">
        <v>0</v>
      </c>
      <c r="Y7" s="731" t="b">
        <v>0</v>
      </c>
      <c r="Z7" s="731" t="b">
        <v>0</v>
      </c>
      <c r="AA7" s="731" t="b">
        <v>0</v>
      </c>
      <c r="AB7" s="731" t="b">
        <v>0</v>
      </c>
      <c r="AC7" s="731" t="b">
        <v>1</v>
      </c>
      <c r="AD7" s="731" t="b">
        <v>0</v>
      </c>
      <c r="AE7" s="731" t="b">
        <v>0</v>
      </c>
      <c r="AF7" s="731" t="b">
        <v>0</v>
      </c>
      <c r="AG7" s="731" t="b">
        <v>0</v>
      </c>
      <c r="AH7" s="731" t="b">
        <v>0</v>
      </c>
      <c r="AI7" s="731" t="b">
        <v>0</v>
      </c>
      <c r="AJ7" s="731" t="b">
        <v>0</v>
      </c>
      <c r="AK7" s="731" t="b">
        <v>0</v>
      </c>
      <c r="AL7" s="731" t="b">
        <v>0</v>
      </c>
      <c r="AM7" s="823"/>
    </row>
    <row r="8" spans="1:39" hidden="1">
      <c r="A8" s="823"/>
      <c r="B8" s="823"/>
      <c r="C8" s="823"/>
      <c r="D8" s="823"/>
      <c r="E8" s="823"/>
      <c r="F8" s="823"/>
      <c r="G8" s="823"/>
      <c r="H8" s="823"/>
      <c r="I8" s="823"/>
      <c r="J8" s="823"/>
      <c r="K8" s="823"/>
      <c r="L8" s="823"/>
      <c r="M8" s="823"/>
      <c r="N8" s="824"/>
      <c r="O8" s="824"/>
      <c r="P8" s="824"/>
      <c r="Q8" s="824"/>
      <c r="R8" s="824"/>
      <c r="S8" s="824"/>
      <c r="T8" s="824"/>
      <c r="U8" s="824"/>
      <c r="V8" s="824"/>
      <c r="W8" s="824"/>
      <c r="X8" s="824"/>
      <c r="Y8" s="824"/>
      <c r="Z8" s="824"/>
      <c r="AA8" s="824"/>
      <c r="AB8" s="824"/>
      <c r="AC8" s="824"/>
      <c r="AD8" s="824"/>
      <c r="AE8" s="824"/>
      <c r="AF8" s="824"/>
      <c r="AG8" s="824"/>
      <c r="AH8" s="824"/>
      <c r="AI8" s="824"/>
      <c r="AJ8" s="824"/>
      <c r="AK8" s="824"/>
      <c r="AL8" s="824"/>
      <c r="AM8" s="823"/>
    </row>
    <row r="9" spans="1:39" hidden="1">
      <c r="A9" s="823"/>
      <c r="B9" s="823"/>
      <c r="C9" s="823"/>
      <c r="D9" s="823"/>
      <c r="E9" s="823"/>
      <c r="F9" s="823"/>
      <c r="G9" s="823"/>
      <c r="H9" s="823"/>
      <c r="I9" s="823"/>
      <c r="J9" s="823"/>
      <c r="K9" s="823"/>
      <c r="L9" s="823"/>
      <c r="M9" s="823"/>
      <c r="N9" s="824"/>
      <c r="O9" s="824"/>
      <c r="P9" s="824"/>
      <c r="Q9" s="824"/>
      <c r="R9" s="824"/>
      <c r="S9" s="824"/>
      <c r="T9" s="824"/>
      <c r="U9" s="824"/>
      <c r="V9" s="824"/>
      <c r="W9" s="824"/>
      <c r="X9" s="824"/>
      <c r="Y9" s="824"/>
      <c r="Z9" s="824"/>
      <c r="AA9" s="824"/>
      <c r="AB9" s="824"/>
      <c r="AC9" s="824"/>
      <c r="AD9" s="824"/>
      <c r="AE9" s="824"/>
      <c r="AF9" s="824"/>
      <c r="AG9" s="824"/>
      <c r="AH9" s="824"/>
      <c r="AI9" s="824"/>
      <c r="AJ9" s="824"/>
      <c r="AK9" s="824"/>
      <c r="AL9" s="824"/>
      <c r="AM9" s="823"/>
    </row>
    <row r="10" spans="1:39" hidden="1">
      <c r="A10" s="823"/>
      <c r="B10" s="823"/>
      <c r="C10" s="823"/>
      <c r="D10" s="823"/>
      <c r="E10" s="823"/>
      <c r="F10" s="823"/>
      <c r="G10" s="823"/>
      <c r="H10" s="823"/>
      <c r="I10" s="823"/>
      <c r="J10" s="823"/>
      <c r="K10" s="823"/>
      <c r="L10" s="823"/>
      <c r="M10" s="823"/>
      <c r="N10" s="824"/>
      <c r="O10" s="824"/>
      <c r="P10" s="824"/>
      <c r="Q10" s="824"/>
      <c r="R10" s="824"/>
      <c r="S10" s="824"/>
      <c r="T10" s="824"/>
      <c r="U10" s="824"/>
      <c r="V10" s="824"/>
      <c r="W10" s="824"/>
      <c r="X10" s="824"/>
      <c r="Y10" s="824"/>
      <c r="Z10" s="824"/>
      <c r="AA10" s="824"/>
      <c r="AB10" s="824"/>
      <c r="AC10" s="824"/>
      <c r="AD10" s="824"/>
      <c r="AE10" s="824"/>
      <c r="AF10" s="824"/>
      <c r="AG10" s="824"/>
      <c r="AH10" s="824"/>
      <c r="AI10" s="824"/>
      <c r="AJ10" s="824"/>
      <c r="AK10" s="824"/>
      <c r="AL10" s="824"/>
      <c r="AM10" s="823"/>
    </row>
    <row r="11" spans="1:39" ht="15" hidden="1" customHeight="1">
      <c r="A11" s="823"/>
      <c r="B11" s="823"/>
      <c r="C11" s="823"/>
      <c r="D11" s="823"/>
      <c r="E11" s="823"/>
      <c r="F11" s="823"/>
      <c r="G11" s="823"/>
      <c r="H11" s="823"/>
      <c r="I11" s="823"/>
      <c r="J11" s="823"/>
      <c r="K11" s="823"/>
      <c r="L11" s="823"/>
      <c r="M11" s="826"/>
      <c r="N11" s="824"/>
      <c r="O11" s="824"/>
      <c r="P11" s="824"/>
      <c r="Q11" s="824"/>
      <c r="R11" s="824"/>
      <c r="S11" s="824"/>
      <c r="T11" s="824"/>
      <c r="U11" s="824"/>
      <c r="V11" s="824"/>
      <c r="W11" s="824"/>
      <c r="X11" s="824"/>
      <c r="Y11" s="824"/>
      <c r="Z11" s="824"/>
      <c r="AA11" s="824"/>
      <c r="AB11" s="824"/>
      <c r="AC11" s="824"/>
      <c r="AD11" s="824"/>
      <c r="AE11" s="824"/>
      <c r="AF11" s="824"/>
      <c r="AG11" s="824"/>
      <c r="AH11" s="824"/>
      <c r="AI11" s="824"/>
      <c r="AJ11" s="824"/>
      <c r="AK11" s="824"/>
      <c r="AL11" s="824"/>
      <c r="AM11" s="823"/>
    </row>
    <row r="12" spans="1:39" s="197" customFormat="1" ht="20.100000000000001" customHeight="1">
      <c r="A12" s="827"/>
      <c r="B12" s="827"/>
      <c r="C12" s="827"/>
      <c r="D12" s="827"/>
      <c r="E12" s="827"/>
      <c r="F12" s="827"/>
      <c r="G12" s="827"/>
      <c r="H12" s="827"/>
      <c r="I12" s="827"/>
      <c r="J12" s="827"/>
      <c r="K12" s="827"/>
      <c r="L12" s="418" t="s">
        <v>1246</v>
      </c>
      <c r="M12" s="198"/>
      <c r="N12" s="200"/>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9"/>
    </row>
    <row r="13" spans="1:39" s="197" customFormat="1">
      <c r="A13" s="827"/>
      <c r="B13" s="827"/>
      <c r="C13" s="827"/>
      <c r="D13" s="827"/>
      <c r="E13" s="827"/>
      <c r="F13" s="827"/>
      <c r="G13" s="827"/>
      <c r="H13" s="827"/>
      <c r="I13" s="827"/>
      <c r="J13" s="827"/>
      <c r="K13" s="827"/>
      <c r="L13" s="1129"/>
      <c r="M13" s="1129"/>
      <c r="N13" s="1129"/>
      <c r="O13" s="1129"/>
      <c r="P13" s="1129"/>
      <c r="Q13" s="1129"/>
      <c r="R13" s="1129"/>
      <c r="S13" s="1129"/>
      <c r="T13" s="1129"/>
      <c r="U13" s="1129"/>
      <c r="V13" s="1129"/>
      <c r="W13" s="1129"/>
      <c r="X13" s="1129"/>
      <c r="Y13" s="1129"/>
      <c r="Z13" s="1129"/>
      <c r="AA13" s="1129"/>
      <c r="AB13" s="1129"/>
      <c r="AC13" s="1129"/>
      <c r="AD13" s="1129"/>
      <c r="AE13" s="1129"/>
      <c r="AF13" s="1129"/>
      <c r="AG13" s="1129"/>
      <c r="AH13" s="1129"/>
      <c r="AI13" s="1129"/>
      <c r="AJ13" s="1129"/>
      <c r="AK13" s="1129"/>
      <c r="AL13" s="1129"/>
      <c r="AM13" s="827"/>
    </row>
    <row r="14" spans="1:39" ht="15" customHeight="1">
      <c r="A14" s="823"/>
      <c r="B14" s="823"/>
      <c r="C14" s="823"/>
      <c r="D14" s="823"/>
      <c r="E14" s="823"/>
      <c r="F14" s="823"/>
      <c r="G14" s="823"/>
      <c r="H14" s="823"/>
      <c r="I14" s="823"/>
      <c r="J14" s="823"/>
      <c r="K14" s="823"/>
      <c r="L14" s="1130" t="s">
        <v>356</v>
      </c>
      <c r="M14" s="1131" t="s">
        <v>212</v>
      </c>
      <c r="N14" s="1130" t="s">
        <v>135</v>
      </c>
      <c r="O14" s="782" t="s">
        <v>3010</v>
      </c>
      <c r="P14" s="782" t="s">
        <v>3010</v>
      </c>
      <c r="Q14" s="782" t="s">
        <v>3010</v>
      </c>
      <c r="R14" s="783" t="s">
        <v>3011</v>
      </c>
      <c r="S14" s="747" t="s">
        <v>3012</v>
      </c>
      <c r="T14" s="747" t="s">
        <v>3046</v>
      </c>
      <c r="U14" s="747" t="s">
        <v>3047</v>
      </c>
      <c r="V14" s="747" t="s">
        <v>3048</v>
      </c>
      <c r="W14" s="747" t="s">
        <v>3049</v>
      </c>
      <c r="X14" s="747" t="s">
        <v>3050</v>
      </c>
      <c r="Y14" s="747" t="s">
        <v>3051</v>
      </c>
      <c r="Z14" s="747" t="s">
        <v>3052</v>
      </c>
      <c r="AA14" s="747" t="s">
        <v>3053</v>
      </c>
      <c r="AB14" s="747" t="s">
        <v>3054</v>
      </c>
      <c r="AC14" s="747" t="s">
        <v>3012</v>
      </c>
      <c r="AD14" s="747" t="s">
        <v>3046</v>
      </c>
      <c r="AE14" s="747" t="s">
        <v>3047</v>
      </c>
      <c r="AF14" s="747" t="s">
        <v>3048</v>
      </c>
      <c r="AG14" s="747" t="s">
        <v>3049</v>
      </c>
      <c r="AH14" s="747" t="s">
        <v>3050</v>
      </c>
      <c r="AI14" s="747" t="s">
        <v>3051</v>
      </c>
      <c r="AJ14" s="747" t="s">
        <v>3052</v>
      </c>
      <c r="AK14" s="747" t="s">
        <v>3053</v>
      </c>
      <c r="AL14" s="747" t="s">
        <v>3054</v>
      </c>
      <c r="AM14" s="1132" t="s">
        <v>305</v>
      </c>
    </row>
    <row r="15" spans="1:39" ht="50.1" customHeight="1">
      <c r="A15" s="823"/>
      <c r="B15" s="823"/>
      <c r="C15" s="823"/>
      <c r="D15" s="823"/>
      <c r="E15" s="823"/>
      <c r="F15" s="823"/>
      <c r="G15" s="823"/>
      <c r="H15" s="823"/>
      <c r="I15" s="823"/>
      <c r="J15" s="823"/>
      <c r="K15" s="823"/>
      <c r="L15" s="1130"/>
      <c r="M15" s="1131"/>
      <c r="N15" s="1130"/>
      <c r="O15" s="747" t="s">
        <v>268</v>
      </c>
      <c r="P15" s="747" t="s">
        <v>306</v>
      </c>
      <c r="Q15" s="747" t="s">
        <v>286</v>
      </c>
      <c r="R15" s="747" t="s">
        <v>268</v>
      </c>
      <c r="S15" s="784" t="s">
        <v>269</v>
      </c>
      <c r="T15" s="784" t="s">
        <v>269</v>
      </c>
      <c r="U15" s="784" t="s">
        <v>269</v>
      </c>
      <c r="V15" s="784" t="s">
        <v>269</v>
      </c>
      <c r="W15" s="784" t="s">
        <v>269</v>
      </c>
      <c r="X15" s="784" t="s">
        <v>269</v>
      </c>
      <c r="Y15" s="784" t="s">
        <v>269</v>
      </c>
      <c r="Z15" s="784" t="s">
        <v>269</v>
      </c>
      <c r="AA15" s="784" t="s">
        <v>269</v>
      </c>
      <c r="AB15" s="784" t="s">
        <v>269</v>
      </c>
      <c r="AC15" s="784" t="s">
        <v>268</v>
      </c>
      <c r="AD15" s="784" t="s">
        <v>268</v>
      </c>
      <c r="AE15" s="784" t="s">
        <v>268</v>
      </c>
      <c r="AF15" s="784" t="s">
        <v>268</v>
      </c>
      <c r="AG15" s="784" t="s">
        <v>268</v>
      </c>
      <c r="AH15" s="784" t="s">
        <v>268</v>
      </c>
      <c r="AI15" s="784" t="s">
        <v>268</v>
      </c>
      <c r="AJ15" s="784" t="s">
        <v>268</v>
      </c>
      <c r="AK15" s="784" t="s">
        <v>268</v>
      </c>
      <c r="AL15" s="784" t="s">
        <v>268</v>
      </c>
      <c r="AM15" s="1133"/>
    </row>
    <row r="16" spans="1:39">
      <c r="A16" s="788" t="s">
        <v>18</v>
      </c>
      <c r="B16" s="823"/>
      <c r="C16" s="823"/>
      <c r="D16" s="823"/>
      <c r="E16" s="823"/>
      <c r="F16" s="823"/>
      <c r="G16" s="823"/>
      <c r="H16" s="823"/>
      <c r="I16" s="823"/>
      <c r="J16" s="823"/>
      <c r="K16" s="823"/>
      <c r="L16" s="828" t="s">
        <v>3005</v>
      </c>
      <c r="M16" s="708"/>
      <c r="N16" s="688"/>
      <c r="O16" s="688"/>
      <c r="P16" s="688"/>
      <c r="Q16" s="688"/>
      <c r="R16" s="688"/>
      <c r="S16" s="688"/>
      <c r="T16" s="688"/>
      <c r="U16" s="688"/>
      <c r="V16" s="688"/>
      <c r="W16" s="688"/>
      <c r="X16" s="688"/>
      <c r="Y16" s="688"/>
      <c r="Z16" s="688"/>
      <c r="AA16" s="688"/>
      <c r="AB16" s="688"/>
      <c r="AC16" s="688"/>
      <c r="AD16" s="688"/>
      <c r="AE16" s="688"/>
      <c r="AF16" s="688"/>
      <c r="AG16" s="688"/>
      <c r="AH16" s="688"/>
      <c r="AI16" s="688"/>
      <c r="AJ16" s="688"/>
      <c r="AK16" s="688"/>
      <c r="AL16" s="688"/>
      <c r="AM16" s="829"/>
    </row>
    <row r="17" spans="1:39" s="93" customFormat="1" ht="22.8">
      <c r="A17" s="809">
        <v>1</v>
      </c>
      <c r="B17" s="823" t="s">
        <v>1406</v>
      </c>
      <c r="C17" s="830"/>
      <c r="D17" s="830"/>
      <c r="E17" s="830"/>
      <c r="F17" s="830"/>
      <c r="G17" s="830"/>
      <c r="H17" s="830"/>
      <c r="I17" s="830"/>
      <c r="J17" s="830"/>
      <c r="K17" s="830"/>
      <c r="L17" s="831">
        <v>1</v>
      </c>
      <c r="M17" s="203" t="s">
        <v>357</v>
      </c>
      <c r="N17" s="749" t="s">
        <v>352</v>
      </c>
      <c r="O17" s="832">
        <v>0</v>
      </c>
      <c r="P17" s="832">
        <v>0</v>
      </c>
      <c r="Q17" s="832">
        <v>0</v>
      </c>
      <c r="R17" s="832">
        <v>0</v>
      </c>
      <c r="S17" s="832">
        <v>0</v>
      </c>
      <c r="T17" s="832">
        <v>0</v>
      </c>
      <c r="U17" s="832">
        <v>0</v>
      </c>
      <c r="V17" s="832">
        <v>0</v>
      </c>
      <c r="W17" s="832">
        <v>0</v>
      </c>
      <c r="X17" s="832">
        <v>0</v>
      </c>
      <c r="Y17" s="832">
        <v>0</v>
      </c>
      <c r="Z17" s="832">
        <v>0</v>
      </c>
      <c r="AA17" s="832">
        <v>0</v>
      </c>
      <c r="AB17" s="832">
        <v>0</v>
      </c>
      <c r="AC17" s="832">
        <v>0</v>
      </c>
      <c r="AD17" s="832">
        <v>0</v>
      </c>
      <c r="AE17" s="832">
        <v>0</v>
      </c>
      <c r="AF17" s="832">
        <v>0</v>
      </c>
      <c r="AG17" s="832">
        <v>0</v>
      </c>
      <c r="AH17" s="832">
        <v>0</v>
      </c>
      <c r="AI17" s="832">
        <v>0</v>
      </c>
      <c r="AJ17" s="832">
        <v>0</v>
      </c>
      <c r="AK17" s="832">
        <v>0</v>
      </c>
      <c r="AL17" s="832">
        <v>0</v>
      </c>
      <c r="AM17" s="796"/>
    </row>
    <row r="18" spans="1:39">
      <c r="A18" s="809">
        <v>1</v>
      </c>
      <c r="B18" s="823" t="s">
        <v>1407</v>
      </c>
      <c r="C18" s="823"/>
      <c r="D18" s="823"/>
      <c r="E18" s="823"/>
      <c r="F18" s="823"/>
      <c r="G18" s="823"/>
      <c r="H18" s="823"/>
      <c r="I18" s="823"/>
      <c r="J18" s="823"/>
      <c r="K18" s="823"/>
      <c r="L18" s="833">
        <v>1.1000000000000001</v>
      </c>
      <c r="M18" s="207" t="s">
        <v>358</v>
      </c>
      <c r="N18" s="749" t="s">
        <v>352</v>
      </c>
      <c r="O18" s="834"/>
      <c r="P18" s="834"/>
      <c r="Q18" s="834"/>
      <c r="R18" s="834"/>
      <c r="S18" s="834"/>
      <c r="T18" s="834"/>
      <c r="U18" s="834"/>
      <c r="V18" s="834"/>
      <c r="W18" s="834"/>
      <c r="X18" s="834"/>
      <c r="Y18" s="834"/>
      <c r="Z18" s="834"/>
      <c r="AA18" s="834"/>
      <c r="AB18" s="834"/>
      <c r="AC18" s="834"/>
      <c r="AD18" s="834"/>
      <c r="AE18" s="834"/>
      <c r="AF18" s="834"/>
      <c r="AG18" s="834"/>
      <c r="AH18" s="834"/>
      <c r="AI18" s="834"/>
      <c r="AJ18" s="834"/>
      <c r="AK18" s="834"/>
      <c r="AL18" s="834"/>
      <c r="AM18" s="796"/>
    </row>
    <row r="19" spans="1:39">
      <c r="A19" s="809">
        <v>1</v>
      </c>
      <c r="B19" s="823" t="s">
        <v>1408</v>
      </c>
      <c r="C19" s="823"/>
      <c r="D19" s="823"/>
      <c r="E19" s="823"/>
      <c r="F19" s="823"/>
      <c r="G19" s="823"/>
      <c r="H19" s="823"/>
      <c r="I19" s="823"/>
      <c r="J19" s="823"/>
      <c r="K19" s="823"/>
      <c r="L19" s="833">
        <v>1.2</v>
      </c>
      <c r="M19" s="207" t="s">
        <v>359</v>
      </c>
      <c r="N19" s="749" t="s">
        <v>352</v>
      </c>
      <c r="O19" s="834"/>
      <c r="P19" s="834"/>
      <c r="Q19" s="834"/>
      <c r="R19" s="834"/>
      <c r="S19" s="834"/>
      <c r="T19" s="834"/>
      <c r="U19" s="834"/>
      <c r="V19" s="834"/>
      <c r="W19" s="834"/>
      <c r="X19" s="834"/>
      <c r="Y19" s="834"/>
      <c r="Z19" s="834"/>
      <c r="AA19" s="834"/>
      <c r="AB19" s="834"/>
      <c r="AC19" s="834"/>
      <c r="AD19" s="834"/>
      <c r="AE19" s="834"/>
      <c r="AF19" s="834"/>
      <c r="AG19" s="834"/>
      <c r="AH19" s="834"/>
      <c r="AI19" s="834"/>
      <c r="AJ19" s="834"/>
      <c r="AK19" s="834"/>
      <c r="AL19" s="834"/>
      <c r="AM19" s="796"/>
    </row>
    <row r="20" spans="1:39">
      <c r="A20" s="809">
        <v>1</v>
      </c>
      <c r="B20" s="823" t="s">
        <v>1519</v>
      </c>
      <c r="C20" s="823"/>
      <c r="D20" s="823"/>
      <c r="E20" s="823"/>
      <c r="F20" s="823"/>
      <c r="G20" s="823"/>
      <c r="H20" s="823"/>
      <c r="I20" s="823"/>
      <c r="J20" s="823"/>
      <c r="K20" s="823"/>
      <c r="L20" s="833">
        <v>1.3</v>
      </c>
      <c r="M20" s="207" t="s">
        <v>361</v>
      </c>
      <c r="N20" s="749" t="s">
        <v>352</v>
      </c>
      <c r="O20" s="834"/>
      <c r="P20" s="834"/>
      <c r="Q20" s="834"/>
      <c r="R20" s="834"/>
      <c r="S20" s="834"/>
      <c r="T20" s="834"/>
      <c r="U20" s="834"/>
      <c r="V20" s="834"/>
      <c r="W20" s="834"/>
      <c r="X20" s="834"/>
      <c r="Y20" s="834"/>
      <c r="Z20" s="834"/>
      <c r="AA20" s="834"/>
      <c r="AB20" s="834"/>
      <c r="AC20" s="834"/>
      <c r="AD20" s="834"/>
      <c r="AE20" s="834"/>
      <c r="AF20" s="834"/>
      <c r="AG20" s="834"/>
      <c r="AH20" s="834"/>
      <c r="AI20" s="834"/>
      <c r="AJ20" s="834"/>
      <c r="AK20" s="834"/>
      <c r="AL20" s="834"/>
      <c r="AM20" s="796"/>
    </row>
    <row r="21" spans="1:39">
      <c r="A21" s="809">
        <v>1</v>
      </c>
      <c r="B21" s="823" t="s">
        <v>1527</v>
      </c>
      <c r="C21" s="823"/>
      <c r="D21" s="823"/>
      <c r="E21" s="823"/>
      <c r="F21" s="823"/>
      <c r="G21" s="823"/>
      <c r="H21" s="823"/>
      <c r="I21" s="823"/>
      <c r="J21" s="823"/>
      <c r="K21" s="823"/>
      <c r="L21" s="833">
        <v>1.4</v>
      </c>
      <c r="M21" s="207" t="s">
        <v>363</v>
      </c>
      <c r="N21" s="749" t="s">
        <v>352</v>
      </c>
      <c r="O21" s="834"/>
      <c r="P21" s="834"/>
      <c r="Q21" s="834"/>
      <c r="R21" s="834"/>
      <c r="S21" s="834"/>
      <c r="T21" s="834"/>
      <c r="U21" s="834"/>
      <c r="V21" s="834"/>
      <c r="W21" s="834"/>
      <c r="X21" s="834"/>
      <c r="Y21" s="834"/>
      <c r="Z21" s="834"/>
      <c r="AA21" s="834"/>
      <c r="AB21" s="834"/>
      <c r="AC21" s="834"/>
      <c r="AD21" s="834"/>
      <c r="AE21" s="834"/>
      <c r="AF21" s="834"/>
      <c r="AG21" s="834"/>
      <c r="AH21" s="834"/>
      <c r="AI21" s="834"/>
      <c r="AJ21" s="834"/>
      <c r="AK21" s="834"/>
      <c r="AL21" s="834"/>
      <c r="AM21" s="796"/>
    </row>
    <row r="22" spans="1:39">
      <c r="A22" s="809">
        <v>1</v>
      </c>
      <c r="B22" s="823" t="s">
        <v>1565</v>
      </c>
      <c r="C22" s="823"/>
      <c r="D22" s="823"/>
      <c r="E22" s="823"/>
      <c r="F22" s="823"/>
      <c r="G22" s="823"/>
      <c r="H22" s="823"/>
      <c r="I22" s="823"/>
      <c r="J22" s="823"/>
      <c r="K22" s="823"/>
      <c r="L22" s="833">
        <v>1.5</v>
      </c>
      <c r="M22" s="207" t="s">
        <v>365</v>
      </c>
      <c r="N22" s="749" t="s">
        <v>352</v>
      </c>
      <c r="O22" s="834"/>
      <c r="P22" s="834"/>
      <c r="Q22" s="834"/>
      <c r="R22" s="834"/>
      <c r="S22" s="834"/>
      <c r="T22" s="834"/>
      <c r="U22" s="834"/>
      <c r="V22" s="834"/>
      <c r="W22" s="834"/>
      <c r="X22" s="834"/>
      <c r="Y22" s="834"/>
      <c r="Z22" s="834"/>
      <c r="AA22" s="834"/>
      <c r="AB22" s="834"/>
      <c r="AC22" s="834"/>
      <c r="AD22" s="834"/>
      <c r="AE22" s="834"/>
      <c r="AF22" s="834"/>
      <c r="AG22" s="834"/>
      <c r="AH22" s="834"/>
      <c r="AI22" s="834"/>
      <c r="AJ22" s="834"/>
      <c r="AK22" s="834"/>
      <c r="AL22" s="834"/>
      <c r="AM22" s="796"/>
    </row>
    <row r="23" spans="1:39" s="93" customFormat="1">
      <c r="A23" s="809">
        <v>1</v>
      </c>
      <c r="B23" s="823" t="s">
        <v>1438</v>
      </c>
      <c r="C23" s="830"/>
      <c r="D23" s="830"/>
      <c r="E23" s="830"/>
      <c r="F23" s="830"/>
      <c r="G23" s="830"/>
      <c r="H23" s="830"/>
      <c r="I23" s="830"/>
      <c r="J23" s="830"/>
      <c r="K23" s="830"/>
      <c r="L23" s="831">
        <v>2</v>
      </c>
      <c r="M23" s="203" t="s">
        <v>366</v>
      </c>
      <c r="N23" s="749" t="s">
        <v>352</v>
      </c>
      <c r="O23" s="832">
        <v>0</v>
      </c>
      <c r="P23" s="832">
        <v>0</v>
      </c>
      <c r="Q23" s="832">
        <v>0</v>
      </c>
      <c r="R23" s="832">
        <v>0</v>
      </c>
      <c r="S23" s="832">
        <v>0</v>
      </c>
      <c r="T23" s="832">
        <v>0</v>
      </c>
      <c r="U23" s="832">
        <v>0</v>
      </c>
      <c r="V23" s="832">
        <v>0</v>
      </c>
      <c r="W23" s="832">
        <v>0</v>
      </c>
      <c r="X23" s="832">
        <v>0</v>
      </c>
      <c r="Y23" s="832">
        <v>0</v>
      </c>
      <c r="Z23" s="832">
        <v>0</v>
      </c>
      <c r="AA23" s="832">
        <v>0</v>
      </c>
      <c r="AB23" s="832">
        <v>0</v>
      </c>
      <c r="AC23" s="832">
        <v>0</v>
      </c>
      <c r="AD23" s="832">
        <v>0</v>
      </c>
      <c r="AE23" s="832">
        <v>0</v>
      </c>
      <c r="AF23" s="832">
        <v>0</v>
      </c>
      <c r="AG23" s="832">
        <v>0</v>
      </c>
      <c r="AH23" s="832">
        <v>0</v>
      </c>
      <c r="AI23" s="832">
        <v>0</v>
      </c>
      <c r="AJ23" s="832">
        <v>0</v>
      </c>
      <c r="AK23" s="832">
        <v>0</v>
      </c>
      <c r="AL23" s="832">
        <v>0</v>
      </c>
      <c r="AM23" s="796"/>
    </row>
    <row r="24" spans="1:39">
      <c r="A24" s="809">
        <v>1</v>
      </c>
      <c r="B24" s="823" t="s">
        <v>1439</v>
      </c>
      <c r="C24" s="823"/>
      <c r="D24" s="823"/>
      <c r="E24" s="823"/>
      <c r="F24" s="823"/>
      <c r="G24" s="823"/>
      <c r="H24" s="823"/>
      <c r="I24" s="823"/>
      <c r="J24" s="823"/>
      <c r="K24" s="823"/>
      <c r="L24" s="833">
        <v>2.1</v>
      </c>
      <c r="M24" s="207" t="s">
        <v>358</v>
      </c>
      <c r="N24" s="749" t="s">
        <v>352</v>
      </c>
      <c r="O24" s="834"/>
      <c r="P24" s="834"/>
      <c r="Q24" s="834"/>
      <c r="R24" s="834"/>
      <c r="S24" s="834"/>
      <c r="T24" s="834"/>
      <c r="U24" s="834"/>
      <c r="V24" s="834"/>
      <c r="W24" s="834"/>
      <c r="X24" s="834"/>
      <c r="Y24" s="834"/>
      <c r="Z24" s="834"/>
      <c r="AA24" s="834"/>
      <c r="AB24" s="834"/>
      <c r="AC24" s="834"/>
      <c r="AD24" s="834"/>
      <c r="AE24" s="834"/>
      <c r="AF24" s="834"/>
      <c r="AG24" s="834"/>
      <c r="AH24" s="834"/>
      <c r="AI24" s="834"/>
      <c r="AJ24" s="834"/>
      <c r="AK24" s="834"/>
      <c r="AL24" s="834"/>
      <c r="AM24" s="796"/>
    </row>
    <row r="25" spans="1:39">
      <c r="A25" s="809">
        <v>1</v>
      </c>
      <c r="B25" s="823" t="s">
        <v>1576</v>
      </c>
      <c r="C25" s="823"/>
      <c r="D25" s="823"/>
      <c r="E25" s="823"/>
      <c r="F25" s="823"/>
      <c r="G25" s="823"/>
      <c r="H25" s="823"/>
      <c r="I25" s="823"/>
      <c r="J25" s="823"/>
      <c r="K25" s="823"/>
      <c r="L25" s="833">
        <v>2.2000000000000002</v>
      </c>
      <c r="M25" s="207" t="s">
        <v>359</v>
      </c>
      <c r="N25" s="749" t="s">
        <v>352</v>
      </c>
      <c r="O25" s="834"/>
      <c r="P25" s="834"/>
      <c r="Q25" s="834"/>
      <c r="R25" s="834"/>
      <c r="S25" s="834"/>
      <c r="T25" s="834"/>
      <c r="U25" s="834"/>
      <c r="V25" s="834"/>
      <c r="W25" s="834"/>
      <c r="X25" s="834"/>
      <c r="Y25" s="834"/>
      <c r="Z25" s="834"/>
      <c r="AA25" s="834"/>
      <c r="AB25" s="834"/>
      <c r="AC25" s="834"/>
      <c r="AD25" s="834"/>
      <c r="AE25" s="834"/>
      <c r="AF25" s="834"/>
      <c r="AG25" s="834"/>
      <c r="AH25" s="834"/>
      <c r="AI25" s="834"/>
      <c r="AJ25" s="834"/>
      <c r="AK25" s="834"/>
      <c r="AL25" s="834"/>
      <c r="AM25" s="796"/>
    </row>
    <row r="26" spans="1:39">
      <c r="A26" s="809">
        <v>1</v>
      </c>
      <c r="B26" s="823" t="s">
        <v>1577</v>
      </c>
      <c r="C26" s="823"/>
      <c r="D26" s="823"/>
      <c r="E26" s="823"/>
      <c r="F26" s="823"/>
      <c r="G26" s="823"/>
      <c r="H26" s="823"/>
      <c r="I26" s="823"/>
      <c r="J26" s="823"/>
      <c r="K26" s="823"/>
      <c r="L26" s="833">
        <v>2.2999999999999998</v>
      </c>
      <c r="M26" s="207" t="s">
        <v>361</v>
      </c>
      <c r="N26" s="749" t="s">
        <v>352</v>
      </c>
      <c r="O26" s="834"/>
      <c r="P26" s="834"/>
      <c r="Q26" s="834"/>
      <c r="R26" s="834"/>
      <c r="S26" s="834"/>
      <c r="T26" s="834"/>
      <c r="U26" s="834"/>
      <c r="V26" s="834"/>
      <c r="W26" s="834"/>
      <c r="X26" s="834"/>
      <c r="Y26" s="834"/>
      <c r="Z26" s="834"/>
      <c r="AA26" s="834"/>
      <c r="AB26" s="834"/>
      <c r="AC26" s="834"/>
      <c r="AD26" s="834"/>
      <c r="AE26" s="834"/>
      <c r="AF26" s="834"/>
      <c r="AG26" s="834"/>
      <c r="AH26" s="834"/>
      <c r="AI26" s="834"/>
      <c r="AJ26" s="834"/>
      <c r="AK26" s="834"/>
      <c r="AL26" s="834"/>
      <c r="AM26" s="796"/>
    </row>
    <row r="27" spans="1:39">
      <c r="A27" s="809">
        <v>1</v>
      </c>
      <c r="B27" s="823" t="s">
        <v>1587</v>
      </c>
      <c r="C27" s="823"/>
      <c r="D27" s="823"/>
      <c r="E27" s="823"/>
      <c r="F27" s="823"/>
      <c r="G27" s="823"/>
      <c r="H27" s="823"/>
      <c r="I27" s="823"/>
      <c r="J27" s="823"/>
      <c r="K27" s="823"/>
      <c r="L27" s="833">
        <v>2.4</v>
      </c>
      <c r="M27" s="207" t="s">
        <v>363</v>
      </c>
      <c r="N27" s="749" t="s">
        <v>352</v>
      </c>
      <c r="O27" s="834"/>
      <c r="P27" s="834"/>
      <c r="Q27" s="834"/>
      <c r="R27" s="834"/>
      <c r="S27" s="834"/>
      <c r="T27" s="834"/>
      <c r="U27" s="834"/>
      <c r="V27" s="834"/>
      <c r="W27" s="834"/>
      <c r="X27" s="834"/>
      <c r="Y27" s="834"/>
      <c r="Z27" s="834"/>
      <c r="AA27" s="834"/>
      <c r="AB27" s="834"/>
      <c r="AC27" s="834"/>
      <c r="AD27" s="834"/>
      <c r="AE27" s="834"/>
      <c r="AF27" s="834"/>
      <c r="AG27" s="834"/>
      <c r="AH27" s="834"/>
      <c r="AI27" s="834"/>
      <c r="AJ27" s="834"/>
      <c r="AK27" s="834"/>
      <c r="AL27" s="834"/>
      <c r="AM27" s="796"/>
    </row>
    <row r="28" spans="1:39">
      <c r="A28" s="809">
        <v>1</v>
      </c>
      <c r="B28" s="823" t="s">
        <v>1588</v>
      </c>
      <c r="C28" s="823"/>
      <c r="D28" s="823"/>
      <c r="E28" s="823"/>
      <c r="F28" s="823"/>
      <c r="G28" s="823"/>
      <c r="H28" s="823"/>
      <c r="I28" s="823"/>
      <c r="J28" s="823"/>
      <c r="K28" s="823"/>
      <c r="L28" s="833">
        <v>2.5</v>
      </c>
      <c r="M28" s="207" t="s">
        <v>365</v>
      </c>
      <c r="N28" s="749" t="s">
        <v>352</v>
      </c>
      <c r="O28" s="834"/>
      <c r="P28" s="834"/>
      <c r="Q28" s="834"/>
      <c r="R28" s="834"/>
      <c r="S28" s="834"/>
      <c r="T28" s="834"/>
      <c r="U28" s="834"/>
      <c r="V28" s="834"/>
      <c r="W28" s="834"/>
      <c r="X28" s="834"/>
      <c r="Y28" s="834"/>
      <c r="Z28" s="834"/>
      <c r="AA28" s="834"/>
      <c r="AB28" s="834"/>
      <c r="AC28" s="834"/>
      <c r="AD28" s="834"/>
      <c r="AE28" s="834"/>
      <c r="AF28" s="834"/>
      <c r="AG28" s="834"/>
      <c r="AH28" s="834"/>
      <c r="AI28" s="834"/>
      <c r="AJ28" s="834"/>
      <c r="AK28" s="834"/>
      <c r="AL28" s="834"/>
      <c r="AM28" s="796"/>
    </row>
    <row r="29" spans="1:39" s="93" customFormat="1">
      <c r="A29" s="809">
        <v>1</v>
      </c>
      <c r="B29" s="823" t="s">
        <v>1442</v>
      </c>
      <c r="C29" s="830"/>
      <c r="D29" s="830"/>
      <c r="E29" s="830"/>
      <c r="F29" s="830"/>
      <c r="G29" s="830"/>
      <c r="H29" s="830"/>
      <c r="I29" s="830"/>
      <c r="J29" s="830"/>
      <c r="K29" s="830"/>
      <c r="L29" s="831">
        <v>3</v>
      </c>
      <c r="M29" s="203" t="s">
        <v>368</v>
      </c>
      <c r="N29" s="749" t="s">
        <v>352</v>
      </c>
      <c r="O29" s="832">
        <v>0</v>
      </c>
      <c r="P29" s="832">
        <v>0</v>
      </c>
      <c r="Q29" s="832">
        <v>0</v>
      </c>
      <c r="R29" s="832">
        <v>0</v>
      </c>
      <c r="S29" s="832">
        <v>0</v>
      </c>
      <c r="T29" s="832">
        <v>0</v>
      </c>
      <c r="U29" s="832">
        <v>0</v>
      </c>
      <c r="V29" s="832">
        <v>0</v>
      </c>
      <c r="W29" s="832">
        <v>0</v>
      </c>
      <c r="X29" s="832">
        <v>0</v>
      </c>
      <c r="Y29" s="832">
        <v>0</v>
      </c>
      <c r="Z29" s="832">
        <v>0</v>
      </c>
      <c r="AA29" s="832">
        <v>0</v>
      </c>
      <c r="AB29" s="832">
        <v>0</v>
      </c>
      <c r="AC29" s="832">
        <v>0</v>
      </c>
      <c r="AD29" s="832">
        <v>0</v>
      </c>
      <c r="AE29" s="832">
        <v>0</v>
      </c>
      <c r="AF29" s="832">
        <v>0</v>
      </c>
      <c r="AG29" s="832">
        <v>0</v>
      </c>
      <c r="AH29" s="832">
        <v>0</v>
      </c>
      <c r="AI29" s="832">
        <v>0</v>
      </c>
      <c r="AJ29" s="832">
        <v>0</v>
      </c>
      <c r="AK29" s="832">
        <v>0</v>
      </c>
      <c r="AL29" s="832">
        <v>0</v>
      </c>
      <c r="AM29" s="796"/>
    </row>
    <row r="30" spans="1:39">
      <c r="A30" s="809">
        <v>1</v>
      </c>
      <c r="B30" s="823" t="s">
        <v>1632</v>
      </c>
      <c r="C30" s="823"/>
      <c r="D30" s="823"/>
      <c r="E30" s="823"/>
      <c r="F30" s="823"/>
      <c r="G30" s="823"/>
      <c r="H30" s="823"/>
      <c r="I30" s="823"/>
      <c r="J30" s="823"/>
      <c r="K30" s="823"/>
      <c r="L30" s="833">
        <v>3.1</v>
      </c>
      <c r="M30" s="207" t="s">
        <v>358</v>
      </c>
      <c r="N30" s="749" t="s">
        <v>352</v>
      </c>
      <c r="O30" s="834"/>
      <c r="P30" s="834"/>
      <c r="Q30" s="834"/>
      <c r="R30" s="834"/>
      <c r="S30" s="834"/>
      <c r="T30" s="834"/>
      <c r="U30" s="834"/>
      <c r="V30" s="834"/>
      <c r="W30" s="834"/>
      <c r="X30" s="834"/>
      <c r="Y30" s="834"/>
      <c r="Z30" s="834"/>
      <c r="AA30" s="834"/>
      <c r="AB30" s="834"/>
      <c r="AC30" s="834"/>
      <c r="AD30" s="834"/>
      <c r="AE30" s="834"/>
      <c r="AF30" s="834"/>
      <c r="AG30" s="834"/>
      <c r="AH30" s="834"/>
      <c r="AI30" s="834"/>
      <c r="AJ30" s="834"/>
      <c r="AK30" s="834"/>
      <c r="AL30" s="834"/>
      <c r="AM30" s="796"/>
    </row>
    <row r="31" spans="1:39">
      <c r="A31" s="809">
        <v>1</v>
      </c>
      <c r="B31" s="823" t="s">
        <v>1633</v>
      </c>
      <c r="C31" s="823"/>
      <c r="D31" s="823"/>
      <c r="E31" s="823"/>
      <c r="F31" s="823"/>
      <c r="G31" s="823"/>
      <c r="H31" s="823"/>
      <c r="I31" s="823"/>
      <c r="J31" s="823"/>
      <c r="K31" s="823"/>
      <c r="L31" s="833">
        <v>3.2</v>
      </c>
      <c r="M31" s="207" t="s">
        <v>359</v>
      </c>
      <c r="N31" s="749" t="s">
        <v>352</v>
      </c>
      <c r="O31" s="834"/>
      <c r="P31" s="834"/>
      <c r="Q31" s="834"/>
      <c r="R31" s="834"/>
      <c r="S31" s="834"/>
      <c r="T31" s="834"/>
      <c r="U31" s="834"/>
      <c r="V31" s="834"/>
      <c r="W31" s="834"/>
      <c r="X31" s="834"/>
      <c r="Y31" s="834"/>
      <c r="Z31" s="834"/>
      <c r="AA31" s="834"/>
      <c r="AB31" s="834"/>
      <c r="AC31" s="834"/>
      <c r="AD31" s="834"/>
      <c r="AE31" s="834"/>
      <c r="AF31" s="834"/>
      <c r="AG31" s="834"/>
      <c r="AH31" s="834"/>
      <c r="AI31" s="834"/>
      <c r="AJ31" s="834"/>
      <c r="AK31" s="834"/>
      <c r="AL31" s="834"/>
      <c r="AM31" s="796"/>
    </row>
    <row r="32" spans="1:39">
      <c r="A32" s="809">
        <v>1</v>
      </c>
      <c r="B32" s="823" t="s">
        <v>1634</v>
      </c>
      <c r="C32" s="823"/>
      <c r="D32" s="823"/>
      <c r="E32" s="823"/>
      <c r="F32" s="823"/>
      <c r="G32" s="823"/>
      <c r="H32" s="823"/>
      <c r="I32" s="823"/>
      <c r="J32" s="823"/>
      <c r="K32" s="823"/>
      <c r="L32" s="833">
        <v>3.3</v>
      </c>
      <c r="M32" s="207" t="s">
        <v>361</v>
      </c>
      <c r="N32" s="749" t="s">
        <v>352</v>
      </c>
      <c r="O32" s="834"/>
      <c r="P32" s="834"/>
      <c r="Q32" s="834"/>
      <c r="R32" s="834"/>
      <c r="S32" s="834"/>
      <c r="T32" s="834"/>
      <c r="U32" s="834"/>
      <c r="V32" s="834"/>
      <c r="W32" s="834"/>
      <c r="X32" s="834"/>
      <c r="Y32" s="834"/>
      <c r="Z32" s="834"/>
      <c r="AA32" s="834"/>
      <c r="AB32" s="834"/>
      <c r="AC32" s="834"/>
      <c r="AD32" s="834"/>
      <c r="AE32" s="834"/>
      <c r="AF32" s="834"/>
      <c r="AG32" s="834"/>
      <c r="AH32" s="834"/>
      <c r="AI32" s="834"/>
      <c r="AJ32" s="834"/>
      <c r="AK32" s="834"/>
      <c r="AL32" s="834"/>
      <c r="AM32" s="796"/>
    </row>
    <row r="33" spans="1:39">
      <c r="A33" s="809">
        <v>1</v>
      </c>
      <c r="B33" s="823" t="s">
        <v>1702</v>
      </c>
      <c r="C33" s="823"/>
      <c r="D33" s="823"/>
      <c r="E33" s="823"/>
      <c r="F33" s="823"/>
      <c r="G33" s="823"/>
      <c r="H33" s="823"/>
      <c r="I33" s="823"/>
      <c r="J33" s="823"/>
      <c r="K33" s="823"/>
      <c r="L33" s="833">
        <v>3.4</v>
      </c>
      <c r="M33" s="207" t="s">
        <v>363</v>
      </c>
      <c r="N33" s="749" t="s">
        <v>352</v>
      </c>
      <c r="O33" s="834"/>
      <c r="P33" s="834"/>
      <c r="Q33" s="834"/>
      <c r="R33" s="834"/>
      <c r="S33" s="834"/>
      <c r="T33" s="834"/>
      <c r="U33" s="834"/>
      <c r="V33" s="834"/>
      <c r="W33" s="834"/>
      <c r="X33" s="834"/>
      <c r="Y33" s="834"/>
      <c r="Z33" s="834"/>
      <c r="AA33" s="834"/>
      <c r="AB33" s="834"/>
      <c r="AC33" s="834"/>
      <c r="AD33" s="834"/>
      <c r="AE33" s="834"/>
      <c r="AF33" s="834"/>
      <c r="AG33" s="834"/>
      <c r="AH33" s="834"/>
      <c r="AI33" s="834"/>
      <c r="AJ33" s="834"/>
      <c r="AK33" s="834"/>
      <c r="AL33" s="834"/>
      <c r="AM33" s="796"/>
    </row>
    <row r="34" spans="1:39">
      <c r="A34" s="809">
        <v>1</v>
      </c>
      <c r="B34" s="823" t="s">
        <v>1703</v>
      </c>
      <c r="C34" s="823"/>
      <c r="D34" s="823"/>
      <c r="E34" s="823"/>
      <c r="F34" s="823"/>
      <c r="G34" s="823"/>
      <c r="H34" s="823"/>
      <c r="I34" s="823"/>
      <c r="J34" s="823"/>
      <c r="K34" s="823"/>
      <c r="L34" s="833">
        <v>3.5</v>
      </c>
      <c r="M34" s="207" t="s">
        <v>365</v>
      </c>
      <c r="N34" s="749" t="s">
        <v>352</v>
      </c>
      <c r="O34" s="834"/>
      <c r="P34" s="834"/>
      <c r="Q34" s="834"/>
      <c r="R34" s="834"/>
      <c r="S34" s="834"/>
      <c r="T34" s="834"/>
      <c r="U34" s="834"/>
      <c r="V34" s="834"/>
      <c r="W34" s="834"/>
      <c r="X34" s="834"/>
      <c r="Y34" s="834"/>
      <c r="Z34" s="834"/>
      <c r="AA34" s="834"/>
      <c r="AB34" s="834"/>
      <c r="AC34" s="834"/>
      <c r="AD34" s="834"/>
      <c r="AE34" s="834"/>
      <c r="AF34" s="834"/>
      <c r="AG34" s="834"/>
      <c r="AH34" s="834"/>
      <c r="AI34" s="834"/>
      <c r="AJ34" s="834"/>
      <c r="AK34" s="834"/>
      <c r="AL34" s="834"/>
      <c r="AM34" s="796"/>
    </row>
    <row r="35" spans="1:39" s="93" customFormat="1" ht="22.8">
      <c r="A35" s="809">
        <v>1</v>
      </c>
      <c r="B35" s="823" t="s">
        <v>1444</v>
      </c>
      <c r="C35" s="830"/>
      <c r="D35" s="830"/>
      <c r="E35" s="830"/>
      <c r="F35" s="830"/>
      <c r="G35" s="830"/>
      <c r="H35" s="830"/>
      <c r="I35" s="830"/>
      <c r="J35" s="830"/>
      <c r="K35" s="830"/>
      <c r="L35" s="831">
        <v>4</v>
      </c>
      <c r="M35" s="203" t="s">
        <v>372</v>
      </c>
      <c r="N35" s="749" t="s">
        <v>352</v>
      </c>
      <c r="O35" s="832">
        <v>0</v>
      </c>
      <c r="P35" s="832">
        <v>0</v>
      </c>
      <c r="Q35" s="832">
        <v>0</v>
      </c>
      <c r="R35" s="832">
        <v>0</v>
      </c>
      <c r="S35" s="832">
        <v>0</v>
      </c>
      <c r="T35" s="832">
        <v>0</v>
      </c>
      <c r="U35" s="832">
        <v>0</v>
      </c>
      <c r="V35" s="832">
        <v>0</v>
      </c>
      <c r="W35" s="832">
        <v>0</v>
      </c>
      <c r="X35" s="832">
        <v>0</v>
      </c>
      <c r="Y35" s="832">
        <v>0</v>
      </c>
      <c r="Z35" s="832">
        <v>0</v>
      </c>
      <c r="AA35" s="832">
        <v>0</v>
      </c>
      <c r="AB35" s="832">
        <v>0</v>
      </c>
      <c r="AC35" s="832">
        <v>0</v>
      </c>
      <c r="AD35" s="832">
        <v>0</v>
      </c>
      <c r="AE35" s="832">
        <v>0</v>
      </c>
      <c r="AF35" s="832">
        <v>0</v>
      </c>
      <c r="AG35" s="832">
        <v>0</v>
      </c>
      <c r="AH35" s="832">
        <v>0</v>
      </c>
      <c r="AI35" s="832">
        <v>0</v>
      </c>
      <c r="AJ35" s="832">
        <v>0</v>
      </c>
      <c r="AK35" s="832">
        <v>0</v>
      </c>
      <c r="AL35" s="832">
        <v>0</v>
      </c>
      <c r="AM35" s="796"/>
    </row>
    <row r="36" spans="1:39">
      <c r="A36" s="809">
        <v>1</v>
      </c>
      <c r="B36" s="823" t="s">
        <v>1598</v>
      </c>
      <c r="C36" s="823"/>
      <c r="D36" s="823"/>
      <c r="E36" s="823"/>
      <c r="F36" s="823"/>
      <c r="G36" s="823"/>
      <c r="H36" s="823"/>
      <c r="I36" s="823"/>
      <c r="J36" s="823"/>
      <c r="K36" s="823"/>
      <c r="L36" s="833">
        <v>4.0999999999999996</v>
      </c>
      <c r="M36" s="207" t="s">
        <v>358</v>
      </c>
      <c r="N36" s="749" t="s">
        <v>352</v>
      </c>
      <c r="O36" s="834">
        <v>0</v>
      </c>
      <c r="P36" s="834">
        <v>0</v>
      </c>
      <c r="Q36" s="834">
        <v>0</v>
      </c>
      <c r="R36" s="834">
        <v>0</v>
      </c>
      <c r="S36" s="834">
        <v>0</v>
      </c>
      <c r="T36" s="834">
        <v>0</v>
      </c>
      <c r="U36" s="834">
        <v>0</v>
      </c>
      <c r="V36" s="834">
        <v>0</v>
      </c>
      <c r="W36" s="834">
        <v>0</v>
      </c>
      <c r="X36" s="834">
        <v>0</v>
      </c>
      <c r="Y36" s="834">
        <v>0</v>
      </c>
      <c r="Z36" s="834">
        <v>0</v>
      </c>
      <c r="AA36" s="834">
        <v>0</v>
      </c>
      <c r="AB36" s="834">
        <v>0</v>
      </c>
      <c r="AC36" s="834">
        <v>0</v>
      </c>
      <c r="AD36" s="834">
        <v>0</v>
      </c>
      <c r="AE36" s="834">
        <v>0</v>
      </c>
      <c r="AF36" s="834">
        <v>0</v>
      </c>
      <c r="AG36" s="834">
        <v>0</v>
      </c>
      <c r="AH36" s="834">
        <v>0</v>
      </c>
      <c r="AI36" s="834">
        <v>0</v>
      </c>
      <c r="AJ36" s="834">
        <v>0</v>
      </c>
      <c r="AK36" s="834">
        <v>0</v>
      </c>
      <c r="AL36" s="834">
        <v>0</v>
      </c>
      <c r="AM36" s="796"/>
    </row>
    <row r="37" spans="1:39">
      <c r="A37" s="809">
        <v>1</v>
      </c>
      <c r="B37" s="823" t="s">
        <v>1619</v>
      </c>
      <c r="C37" s="823"/>
      <c r="D37" s="823"/>
      <c r="E37" s="823"/>
      <c r="F37" s="823"/>
      <c r="G37" s="823"/>
      <c r="H37" s="823"/>
      <c r="I37" s="823"/>
      <c r="J37" s="823"/>
      <c r="K37" s="823"/>
      <c r="L37" s="833">
        <v>4.2</v>
      </c>
      <c r="M37" s="207" t="s">
        <v>359</v>
      </c>
      <c r="N37" s="749" t="s">
        <v>352</v>
      </c>
      <c r="O37" s="834">
        <v>0</v>
      </c>
      <c r="P37" s="834">
        <v>0</v>
      </c>
      <c r="Q37" s="834">
        <v>0</v>
      </c>
      <c r="R37" s="834">
        <v>0</v>
      </c>
      <c r="S37" s="834">
        <v>0</v>
      </c>
      <c r="T37" s="834">
        <v>0</v>
      </c>
      <c r="U37" s="834">
        <v>0</v>
      </c>
      <c r="V37" s="834">
        <v>0</v>
      </c>
      <c r="W37" s="834">
        <v>0</v>
      </c>
      <c r="X37" s="834">
        <v>0</v>
      </c>
      <c r="Y37" s="834">
        <v>0</v>
      </c>
      <c r="Z37" s="834">
        <v>0</v>
      </c>
      <c r="AA37" s="834">
        <v>0</v>
      </c>
      <c r="AB37" s="834">
        <v>0</v>
      </c>
      <c r="AC37" s="834">
        <v>0</v>
      </c>
      <c r="AD37" s="834">
        <v>0</v>
      </c>
      <c r="AE37" s="834">
        <v>0</v>
      </c>
      <c r="AF37" s="834">
        <v>0</v>
      </c>
      <c r="AG37" s="834">
        <v>0</v>
      </c>
      <c r="AH37" s="834">
        <v>0</v>
      </c>
      <c r="AI37" s="834">
        <v>0</v>
      </c>
      <c r="AJ37" s="834">
        <v>0</v>
      </c>
      <c r="AK37" s="834">
        <v>0</v>
      </c>
      <c r="AL37" s="834">
        <v>0</v>
      </c>
      <c r="AM37" s="796"/>
    </row>
    <row r="38" spans="1:39">
      <c r="A38" s="809">
        <v>1</v>
      </c>
      <c r="B38" s="823" t="s">
        <v>1635</v>
      </c>
      <c r="C38" s="823"/>
      <c r="D38" s="823"/>
      <c r="E38" s="823"/>
      <c r="F38" s="823"/>
      <c r="G38" s="823"/>
      <c r="H38" s="823"/>
      <c r="I38" s="823"/>
      <c r="J38" s="823"/>
      <c r="K38" s="823"/>
      <c r="L38" s="833">
        <v>4.3</v>
      </c>
      <c r="M38" s="207" t="s">
        <v>361</v>
      </c>
      <c r="N38" s="749" t="s">
        <v>352</v>
      </c>
      <c r="O38" s="834">
        <v>0</v>
      </c>
      <c r="P38" s="834">
        <v>0</v>
      </c>
      <c r="Q38" s="834">
        <v>0</v>
      </c>
      <c r="R38" s="834">
        <v>0</v>
      </c>
      <c r="S38" s="834">
        <v>0</v>
      </c>
      <c r="T38" s="834">
        <v>0</v>
      </c>
      <c r="U38" s="834">
        <v>0</v>
      </c>
      <c r="V38" s="834">
        <v>0</v>
      </c>
      <c r="W38" s="834">
        <v>0</v>
      </c>
      <c r="X38" s="834">
        <v>0</v>
      </c>
      <c r="Y38" s="834">
        <v>0</v>
      </c>
      <c r="Z38" s="834">
        <v>0</v>
      </c>
      <c r="AA38" s="834">
        <v>0</v>
      </c>
      <c r="AB38" s="834">
        <v>0</v>
      </c>
      <c r="AC38" s="834">
        <v>0</v>
      </c>
      <c r="AD38" s="834">
        <v>0</v>
      </c>
      <c r="AE38" s="834">
        <v>0</v>
      </c>
      <c r="AF38" s="834">
        <v>0</v>
      </c>
      <c r="AG38" s="834">
        <v>0</v>
      </c>
      <c r="AH38" s="834">
        <v>0</v>
      </c>
      <c r="AI38" s="834">
        <v>0</v>
      </c>
      <c r="AJ38" s="834">
        <v>0</v>
      </c>
      <c r="AK38" s="834">
        <v>0</v>
      </c>
      <c r="AL38" s="834">
        <v>0</v>
      </c>
      <c r="AM38" s="796"/>
    </row>
    <row r="39" spans="1:39">
      <c r="A39" s="809">
        <v>1</v>
      </c>
      <c r="B39" s="823" t="s">
        <v>1636</v>
      </c>
      <c r="C39" s="823"/>
      <c r="D39" s="823"/>
      <c r="E39" s="823"/>
      <c r="F39" s="823"/>
      <c r="G39" s="823"/>
      <c r="H39" s="823"/>
      <c r="I39" s="823"/>
      <c r="J39" s="823"/>
      <c r="K39" s="823"/>
      <c r="L39" s="833">
        <v>4.4000000000000004</v>
      </c>
      <c r="M39" s="207" t="s">
        <v>363</v>
      </c>
      <c r="N39" s="749" t="s">
        <v>352</v>
      </c>
      <c r="O39" s="834">
        <v>0</v>
      </c>
      <c r="P39" s="834">
        <v>0</v>
      </c>
      <c r="Q39" s="834">
        <v>0</v>
      </c>
      <c r="R39" s="834">
        <v>0</v>
      </c>
      <c r="S39" s="834">
        <v>0</v>
      </c>
      <c r="T39" s="834">
        <v>0</v>
      </c>
      <c r="U39" s="834">
        <v>0</v>
      </c>
      <c r="V39" s="834">
        <v>0</v>
      </c>
      <c r="W39" s="834">
        <v>0</v>
      </c>
      <c r="X39" s="834">
        <v>0</v>
      </c>
      <c r="Y39" s="834">
        <v>0</v>
      </c>
      <c r="Z39" s="834">
        <v>0</v>
      </c>
      <c r="AA39" s="834">
        <v>0</v>
      </c>
      <c r="AB39" s="834">
        <v>0</v>
      </c>
      <c r="AC39" s="834">
        <v>0</v>
      </c>
      <c r="AD39" s="834">
        <v>0</v>
      </c>
      <c r="AE39" s="834">
        <v>0</v>
      </c>
      <c r="AF39" s="834">
        <v>0</v>
      </c>
      <c r="AG39" s="834">
        <v>0</v>
      </c>
      <c r="AH39" s="834">
        <v>0</v>
      </c>
      <c r="AI39" s="834">
        <v>0</v>
      </c>
      <c r="AJ39" s="834">
        <v>0</v>
      </c>
      <c r="AK39" s="834">
        <v>0</v>
      </c>
      <c r="AL39" s="834">
        <v>0</v>
      </c>
      <c r="AM39" s="796"/>
    </row>
    <row r="40" spans="1:39">
      <c r="A40" s="809">
        <v>1</v>
      </c>
      <c r="B40" s="823" t="s">
        <v>1704</v>
      </c>
      <c r="C40" s="823"/>
      <c r="D40" s="823"/>
      <c r="E40" s="823"/>
      <c r="F40" s="823"/>
      <c r="G40" s="823"/>
      <c r="H40" s="823"/>
      <c r="I40" s="823"/>
      <c r="J40" s="823"/>
      <c r="K40" s="823"/>
      <c r="L40" s="833">
        <v>4.5</v>
      </c>
      <c r="M40" s="207" t="s">
        <v>365</v>
      </c>
      <c r="N40" s="749" t="s">
        <v>352</v>
      </c>
      <c r="O40" s="834">
        <v>0</v>
      </c>
      <c r="P40" s="834">
        <v>0</v>
      </c>
      <c r="Q40" s="834">
        <v>0</v>
      </c>
      <c r="R40" s="834">
        <v>0</v>
      </c>
      <c r="S40" s="834">
        <v>0</v>
      </c>
      <c r="T40" s="834">
        <v>0</v>
      </c>
      <c r="U40" s="834">
        <v>0</v>
      </c>
      <c r="V40" s="834">
        <v>0</v>
      </c>
      <c r="W40" s="834">
        <v>0</v>
      </c>
      <c r="X40" s="834">
        <v>0</v>
      </c>
      <c r="Y40" s="834">
        <v>0</v>
      </c>
      <c r="Z40" s="834">
        <v>0</v>
      </c>
      <c r="AA40" s="834">
        <v>0</v>
      </c>
      <c r="AB40" s="834">
        <v>0</v>
      </c>
      <c r="AC40" s="834">
        <v>0</v>
      </c>
      <c r="AD40" s="834">
        <v>0</v>
      </c>
      <c r="AE40" s="834">
        <v>0</v>
      </c>
      <c r="AF40" s="834">
        <v>0</v>
      </c>
      <c r="AG40" s="834">
        <v>0</v>
      </c>
      <c r="AH40" s="834">
        <v>0</v>
      </c>
      <c r="AI40" s="834">
        <v>0</v>
      </c>
      <c r="AJ40" s="834">
        <v>0</v>
      </c>
      <c r="AK40" s="834">
        <v>0</v>
      </c>
      <c r="AL40" s="834">
        <v>0</v>
      </c>
      <c r="AM40" s="796"/>
    </row>
    <row r="41" spans="1:39" s="93" customFormat="1">
      <c r="A41" s="809">
        <v>1</v>
      </c>
      <c r="B41" s="823" t="s">
        <v>1446</v>
      </c>
      <c r="C41" s="830"/>
      <c r="D41" s="830"/>
      <c r="E41" s="830"/>
      <c r="F41" s="830"/>
      <c r="G41" s="830"/>
      <c r="H41" s="830"/>
      <c r="I41" s="830"/>
      <c r="J41" s="830"/>
      <c r="K41" s="830"/>
      <c r="L41" s="831">
        <v>5</v>
      </c>
      <c r="M41" s="203" t="s">
        <v>377</v>
      </c>
      <c r="N41" s="749" t="s">
        <v>352</v>
      </c>
      <c r="O41" s="832">
        <v>0</v>
      </c>
      <c r="P41" s="832">
        <v>0</v>
      </c>
      <c r="Q41" s="832">
        <v>0</v>
      </c>
      <c r="R41" s="832">
        <v>0</v>
      </c>
      <c r="S41" s="832">
        <v>0</v>
      </c>
      <c r="T41" s="832">
        <v>0</v>
      </c>
      <c r="U41" s="832">
        <v>0</v>
      </c>
      <c r="V41" s="832">
        <v>0</v>
      </c>
      <c r="W41" s="832">
        <v>0</v>
      </c>
      <c r="X41" s="832">
        <v>0</v>
      </c>
      <c r="Y41" s="832">
        <v>0</v>
      </c>
      <c r="Z41" s="832">
        <v>0</v>
      </c>
      <c r="AA41" s="832">
        <v>0</v>
      </c>
      <c r="AB41" s="832">
        <v>0</v>
      </c>
      <c r="AC41" s="832">
        <v>0</v>
      </c>
      <c r="AD41" s="832">
        <v>0</v>
      </c>
      <c r="AE41" s="832">
        <v>0</v>
      </c>
      <c r="AF41" s="832">
        <v>0</v>
      </c>
      <c r="AG41" s="832">
        <v>0</v>
      </c>
      <c r="AH41" s="832">
        <v>0</v>
      </c>
      <c r="AI41" s="832">
        <v>0</v>
      </c>
      <c r="AJ41" s="832">
        <v>0</v>
      </c>
      <c r="AK41" s="832">
        <v>0</v>
      </c>
      <c r="AL41" s="832">
        <v>0</v>
      </c>
      <c r="AM41" s="796"/>
    </row>
    <row r="42" spans="1:39">
      <c r="A42" s="809">
        <v>1</v>
      </c>
      <c r="B42" s="823" t="s">
        <v>1599</v>
      </c>
      <c r="C42" s="823"/>
      <c r="D42" s="823"/>
      <c r="E42" s="823"/>
      <c r="F42" s="823"/>
      <c r="G42" s="823"/>
      <c r="H42" s="823"/>
      <c r="I42" s="823"/>
      <c r="J42" s="823"/>
      <c r="K42" s="823"/>
      <c r="L42" s="833">
        <v>5.0999999999999996</v>
      </c>
      <c r="M42" s="207" t="s">
        <v>358</v>
      </c>
      <c r="N42" s="749" t="s">
        <v>352</v>
      </c>
      <c r="O42" s="834">
        <v>0</v>
      </c>
      <c r="P42" s="834">
        <v>0</v>
      </c>
      <c r="Q42" s="834">
        <v>0</v>
      </c>
      <c r="R42" s="834">
        <v>0</v>
      </c>
      <c r="S42" s="834">
        <v>0</v>
      </c>
      <c r="T42" s="834">
        <v>0</v>
      </c>
      <c r="U42" s="834">
        <v>0</v>
      </c>
      <c r="V42" s="834">
        <v>0</v>
      </c>
      <c r="W42" s="834">
        <v>0</v>
      </c>
      <c r="X42" s="834">
        <v>0</v>
      </c>
      <c r="Y42" s="834">
        <v>0</v>
      </c>
      <c r="Z42" s="834">
        <v>0</v>
      </c>
      <c r="AA42" s="834">
        <v>0</v>
      </c>
      <c r="AB42" s="834">
        <v>0</v>
      </c>
      <c r="AC42" s="834">
        <v>0</v>
      </c>
      <c r="AD42" s="834">
        <v>0</v>
      </c>
      <c r="AE42" s="834">
        <v>0</v>
      </c>
      <c r="AF42" s="834">
        <v>0</v>
      </c>
      <c r="AG42" s="834">
        <v>0</v>
      </c>
      <c r="AH42" s="834">
        <v>0</v>
      </c>
      <c r="AI42" s="834">
        <v>0</v>
      </c>
      <c r="AJ42" s="834">
        <v>0</v>
      </c>
      <c r="AK42" s="834">
        <v>0</v>
      </c>
      <c r="AL42" s="834">
        <v>0</v>
      </c>
      <c r="AM42" s="796"/>
    </row>
    <row r="43" spans="1:39">
      <c r="A43" s="809">
        <v>1</v>
      </c>
      <c r="B43" s="823" t="s">
        <v>1600</v>
      </c>
      <c r="C43" s="823"/>
      <c r="D43" s="823"/>
      <c r="E43" s="823"/>
      <c r="F43" s="823"/>
      <c r="G43" s="823"/>
      <c r="H43" s="823"/>
      <c r="I43" s="823"/>
      <c r="J43" s="823"/>
      <c r="K43" s="823"/>
      <c r="L43" s="833">
        <v>5.2</v>
      </c>
      <c r="M43" s="207" t="s">
        <v>359</v>
      </c>
      <c r="N43" s="749" t="s">
        <v>352</v>
      </c>
      <c r="O43" s="834">
        <v>0</v>
      </c>
      <c r="P43" s="834">
        <v>0</v>
      </c>
      <c r="Q43" s="834">
        <v>0</v>
      </c>
      <c r="R43" s="834">
        <v>0</v>
      </c>
      <c r="S43" s="834">
        <v>0</v>
      </c>
      <c r="T43" s="834">
        <v>0</v>
      </c>
      <c r="U43" s="834">
        <v>0</v>
      </c>
      <c r="V43" s="834">
        <v>0</v>
      </c>
      <c r="W43" s="834">
        <v>0</v>
      </c>
      <c r="X43" s="834">
        <v>0</v>
      </c>
      <c r="Y43" s="834">
        <v>0</v>
      </c>
      <c r="Z43" s="834">
        <v>0</v>
      </c>
      <c r="AA43" s="834">
        <v>0</v>
      </c>
      <c r="AB43" s="834">
        <v>0</v>
      </c>
      <c r="AC43" s="834">
        <v>0</v>
      </c>
      <c r="AD43" s="834">
        <v>0</v>
      </c>
      <c r="AE43" s="834">
        <v>0</v>
      </c>
      <c r="AF43" s="834">
        <v>0</v>
      </c>
      <c r="AG43" s="834">
        <v>0</v>
      </c>
      <c r="AH43" s="834">
        <v>0</v>
      </c>
      <c r="AI43" s="834">
        <v>0</v>
      </c>
      <c r="AJ43" s="834">
        <v>0</v>
      </c>
      <c r="AK43" s="834">
        <v>0</v>
      </c>
      <c r="AL43" s="834">
        <v>0</v>
      </c>
      <c r="AM43" s="796"/>
    </row>
    <row r="44" spans="1:39">
      <c r="A44" s="809">
        <v>1</v>
      </c>
      <c r="B44" s="823" t="s">
        <v>1601</v>
      </c>
      <c r="C44" s="823"/>
      <c r="D44" s="823"/>
      <c r="E44" s="823"/>
      <c r="F44" s="823"/>
      <c r="G44" s="823"/>
      <c r="H44" s="823"/>
      <c r="I44" s="823"/>
      <c r="J44" s="823"/>
      <c r="K44" s="823"/>
      <c r="L44" s="833">
        <v>5.3</v>
      </c>
      <c r="M44" s="207" t="s">
        <v>361</v>
      </c>
      <c r="N44" s="749" t="s">
        <v>352</v>
      </c>
      <c r="O44" s="834">
        <v>0</v>
      </c>
      <c r="P44" s="834">
        <v>0</v>
      </c>
      <c r="Q44" s="834">
        <v>0</v>
      </c>
      <c r="R44" s="834">
        <v>0</v>
      </c>
      <c r="S44" s="834">
        <v>0</v>
      </c>
      <c r="T44" s="834">
        <v>0</v>
      </c>
      <c r="U44" s="834">
        <v>0</v>
      </c>
      <c r="V44" s="834">
        <v>0</v>
      </c>
      <c r="W44" s="834">
        <v>0</v>
      </c>
      <c r="X44" s="834">
        <v>0</v>
      </c>
      <c r="Y44" s="834">
        <v>0</v>
      </c>
      <c r="Z44" s="834">
        <v>0</v>
      </c>
      <c r="AA44" s="834">
        <v>0</v>
      </c>
      <c r="AB44" s="834">
        <v>0</v>
      </c>
      <c r="AC44" s="834">
        <v>0</v>
      </c>
      <c r="AD44" s="834">
        <v>0</v>
      </c>
      <c r="AE44" s="834">
        <v>0</v>
      </c>
      <c r="AF44" s="834">
        <v>0</v>
      </c>
      <c r="AG44" s="834">
        <v>0</v>
      </c>
      <c r="AH44" s="834">
        <v>0</v>
      </c>
      <c r="AI44" s="834">
        <v>0</v>
      </c>
      <c r="AJ44" s="834">
        <v>0</v>
      </c>
      <c r="AK44" s="834">
        <v>0</v>
      </c>
      <c r="AL44" s="834">
        <v>0</v>
      </c>
      <c r="AM44" s="796"/>
    </row>
    <row r="45" spans="1:39">
      <c r="A45" s="809">
        <v>1</v>
      </c>
      <c r="B45" s="823" t="s">
        <v>1602</v>
      </c>
      <c r="C45" s="823"/>
      <c r="D45" s="823"/>
      <c r="E45" s="823"/>
      <c r="F45" s="823"/>
      <c r="G45" s="823"/>
      <c r="H45" s="823"/>
      <c r="I45" s="823"/>
      <c r="J45" s="823"/>
      <c r="K45" s="823"/>
      <c r="L45" s="833">
        <v>5.4</v>
      </c>
      <c r="M45" s="207" t="s">
        <v>363</v>
      </c>
      <c r="N45" s="749" t="s">
        <v>352</v>
      </c>
      <c r="O45" s="834">
        <v>0</v>
      </c>
      <c r="P45" s="834">
        <v>0</v>
      </c>
      <c r="Q45" s="834">
        <v>0</v>
      </c>
      <c r="R45" s="834">
        <v>0</v>
      </c>
      <c r="S45" s="834">
        <v>0</v>
      </c>
      <c r="T45" s="834">
        <v>0</v>
      </c>
      <c r="U45" s="834">
        <v>0</v>
      </c>
      <c r="V45" s="834">
        <v>0</v>
      </c>
      <c r="W45" s="834">
        <v>0</v>
      </c>
      <c r="X45" s="834">
        <v>0</v>
      </c>
      <c r="Y45" s="834">
        <v>0</v>
      </c>
      <c r="Z45" s="834">
        <v>0</v>
      </c>
      <c r="AA45" s="834">
        <v>0</v>
      </c>
      <c r="AB45" s="834">
        <v>0</v>
      </c>
      <c r="AC45" s="834">
        <v>0</v>
      </c>
      <c r="AD45" s="834">
        <v>0</v>
      </c>
      <c r="AE45" s="834">
        <v>0</v>
      </c>
      <c r="AF45" s="834">
        <v>0</v>
      </c>
      <c r="AG45" s="834">
        <v>0</v>
      </c>
      <c r="AH45" s="834">
        <v>0</v>
      </c>
      <c r="AI45" s="834">
        <v>0</v>
      </c>
      <c r="AJ45" s="834">
        <v>0</v>
      </c>
      <c r="AK45" s="834">
        <v>0</v>
      </c>
      <c r="AL45" s="834">
        <v>0</v>
      </c>
      <c r="AM45" s="796"/>
    </row>
    <row r="46" spans="1:39">
      <c r="A46" s="809">
        <v>1</v>
      </c>
      <c r="B46" s="823" t="s">
        <v>1705</v>
      </c>
      <c r="C46" s="823"/>
      <c r="D46" s="823"/>
      <c r="E46" s="823"/>
      <c r="F46" s="823"/>
      <c r="G46" s="823"/>
      <c r="H46" s="823"/>
      <c r="I46" s="823"/>
      <c r="J46" s="823"/>
      <c r="K46" s="823"/>
      <c r="L46" s="833">
        <v>5.5</v>
      </c>
      <c r="M46" s="207" t="s">
        <v>365</v>
      </c>
      <c r="N46" s="749" t="s">
        <v>352</v>
      </c>
      <c r="O46" s="834">
        <v>0</v>
      </c>
      <c r="P46" s="834">
        <v>0</v>
      </c>
      <c r="Q46" s="834">
        <v>0</v>
      </c>
      <c r="R46" s="834">
        <v>0</v>
      </c>
      <c r="S46" s="834">
        <v>0</v>
      </c>
      <c r="T46" s="834">
        <v>0</v>
      </c>
      <c r="U46" s="834">
        <v>0</v>
      </c>
      <c r="V46" s="834">
        <v>0</v>
      </c>
      <c r="W46" s="834">
        <v>0</v>
      </c>
      <c r="X46" s="834">
        <v>0</v>
      </c>
      <c r="Y46" s="834">
        <v>0</v>
      </c>
      <c r="Z46" s="834">
        <v>0</v>
      </c>
      <c r="AA46" s="834">
        <v>0</v>
      </c>
      <c r="AB46" s="834">
        <v>0</v>
      </c>
      <c r="AC46" s="834">
        <v>0</v>
      </c>
      <c r="AD46" s="834">
        <v>0</v>
      </c>
      <c r="AE46" s="834">
        <v>0</v>
      </c>
      <c r="AF46" s="834">
        <v>0</v>
      </c>
      <c r="AG46" s="834">
        <v>0</v>
      </c>
      <c r="AH46" s="834">
        <v>0</v>
      </c>
      <c r="AI46" s="834">
        <v>0</v>
      </c>
      <c r="AJ46" s="834">
        <v>0</v>
      </c>
      <c r="AK46" s="834">
        <v>0</v>
      </c>
      <c r="AL46" s="834">
        <v>0</v>
      </c>
      <c r="AM46" s="796"/>
    </row>
    <row r="47" spans="1:39" s="93" customFormat="1" ht="22.8">
      <c r="A47" s="809">
        <v>1</v>
      </c>
      <c r="B47" s="823" t="s">
        <v>1448</v>
      </c>
      <c r="C47" s="830"/>
      <c r="D47" s="830"/>
      <c r="E47" s="830"/>
      <c r="F47" s="830"/>
      <c r="G47" s="830"/>
      <c r="H47" s="830"/>
      <c r="I47" s="830"/>
      <c r="J47" s="830"/>
      <c r="K47" s="830"/>
      <c r="L47" s="831">
        <v>6</v>
      </c>
      <c r="M47" s="203" t="s">
        <v>381</v>
      </c>
      <c r="N47" s="209"/>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796"/>
    </row>
    <row r="48" spans="1:39">
      <c r="A48" s="809">
        <v>1</v>
      </c>
      <c r="B48" s="823" t="s">
        <v>1645</v>
      </c>
      <c r="C48" s="823"/>
      <c r="D48" s="823"/>
      <c r="E48" s="823"/>
      <c r="F48" s="823"/>
      <c r="G48" s="823"/>
      <c r="H48" s="823"/>
      <c r="I48" s="823"/>
      <c r="J48" s="823"/>
      <c r="K48" s="823"/>
      <c r="L48" s="833">
        <v>6.1</v>
      </c>
      <c r="M48" s="207" t="s">
        <v>358</v>
      </c>
      <c r="N48" s="204" t="s">
        <v>137</v>
      </c>
      <c r="O48" s="834">
        <v>0</v>
      </c>
      <c r="P48" s="834">
        <v>0</v>
      </c>
      <c r="Q48" s="834">
        <v>0</v>
      </c>
      <c r="R48" s="834">
        <v>0</v>
      </c>
      <c r="S48" s="834">
        <v>0</v>
      </c>
      <c r="T48" s="834">
        <v>0</v>
      </c>
      <c r="U48" s="834">
        <v>0</v>
      </c>
      <c r="V48" s="834">
        <v>0</v>
      </c>
      <c r="W48" s="834">
        <v>0</v>
      </c>
      <c r="X48" s="834">
        <v>0</v>
      </c>
      <c r="Y48" s="834">
        <v>0</v>
      </c>
      <c r="Z48" s="834">
        <v>0</v>
      </c>
      <c r="AA48" s="834">
        <v>0</v>
      </c>
      <c r="AB48" s="834">
        <v>0</v>
      </c>
      <c r="AC48" s="834">
        <v>0</v>
      </c>
      <c r="AD48" s="834">
        <v>0</v>
      </c>
      <c r="AE48" s="834">
        <v>0</v>
      </c>
      <c r="AF48" s="834">
        <v>0</v>
      </c>
      <c r="AG48" s="834">
        <v>0</v>
      </c>
      <c r="AH48" s="834">
        <v>0</v>
      </c>
      <c r="AI48" s="834">
        <v>0</v>
      </c>
      <c r="AJ48" s="834">
        <v>0</v>
      </c>
      <c r="AK48" s="834">
        <v>0</v>
      </c>
      <c r="AL48" s="834">
        <v>0</v>
      </c>
      <c r="AM48" s="796"/>
    </row>
    <row r="49" spans="1:39">
      <c r="A49" s="809">
        <v>1</v>
      </c>
      <c r="B49" s="823" t="s">
        <v>1646</v>
      </c>
      <c r="C49" s="823"/>
      <c r="D49" s="823"/>
      <c r="E49" s="823"/>
      <c r="F49" s="823"/>
      <c r="G49" s="823"/>
      <c r="H49" s="823"/>
      <c r="I49" s="823"/>
      <c r="J49" s="823"/>
      <c r="K49" s="823"/>
      <c r="L49" s="833">
        <v>6.2</v>
      </c>
      <c r="M49" s="207" t="s">
        <v>359</v>
      </c>
      <c r="N49" s="204" t="s">
        <v>137</v>
      </c>
      <c r="O49" s="834">
        <v>0</v>
      </c>
      <c r="P49" s="834">
        <v>0</v>
      </c>
      <c r="Q49" s="834">
        <v>0</v>
      </c>
      <c r="R49" s="834">
        <v>0</v>
      </c>
      <c r="S49" s="834">
        <v>0</v>
      </c>
      <c r="T49" s="834">
        <v>0</v>
      </c>
      <c r="U49" s="834">
        <v>0</v>
      </c>
      <c r="V49" s="834">
        <v>0</v>
      </c>
      <c r="W49" s="834">
        <v>0</v>
      </c>
      <c r="X49" s="834">
        <v>0</v>
      </c>
      <c r="Y49" s="834">
        <v>0</v>
      </c>
      <c r="Z49" s="834">
        <v>0</v>
      </c>
      <c r="AA49" s="834">
        <v>0</v>
      </c>
      <c r="AB49" s="834">
        <v>0</v>
      </c>
      <c r="AC49" s="834">
        <v>0</v>
      </c>
      <c r="AD49" s="834">
        <v>0</v>
      </c>
      <c r="AE49" s="834">
        <v>0</v>
      </c>
      <c r="AF49" s="834">
        <v>0</v>
      </c>
      <c r="AG49" s="834">
        <v>0</v>
      </c>
      <c r="AH49" s="834">
        <v>0</v>
      </c>
      <c r="AI49" s="834">
        <v>0</v>
      </c>
      <c r="AJ49" s="834">
        <v>0</v>
      </c>
      <c r="AK49" s="834">
        <v>0</v>
      </c>
      <c r="AL49" s="834">
        <v>0</v>
      </c>
      <c r="AM49" s="796"/>
    </row>
    <row r="50" spans="1:39">
      <c r="A50" s="809">
        <v>1</v>
      </c>
      <c r="B50" s="823" t="s">
        <v>1647</v>
      </c>
      <c r="C50" s="823"/>
      <c r="D50" s="823"/>
      <c r="E50" s="823"/>
      <c r="F50" s="823"/>
      <c r="G50" s="823"/>
      <c r="H50" s="823"/>
      <c r="I50" s="823"/>
      <c r="J50" s="823"/>
      <c r="K50" s="823"/>
      <c r="L50" s="833">
        <v>6.3</v>
      </c>
      <c r="M50" s="207" t="s">
        <v>361</v>
      </c>
      <c r="N50" s="204" t="s">
        <v>137</v>
      </c>
      <c r="O50" s="834">
        <v>0</v>
      </c>
      <c r="P50" s="834">
        <v>0</v>
      </c>
      <c r="Q50" s="834">
        <v>0</v>
      </c>
      <c r="R50" s="834">
        <v>0</v>
      </c>
      <c r="S50" s="834">
        <v>0</v>
      </c>
      <c r="T50" s="834">
        <v>0</v>
      </c>
      <c r="U50" s="834">
        <v>0</v>
      </c>
      <c r="V50" s="834">
        <v>0</v>
      </c>
      <c r="W50" s="834">
        <v>0</v>
      </c>
      <c r="X50" s="834">
        <v>0</v>
      </c>
      <c r="Y50" s="834">
        <v>0</v>
      </c>
      <c r="Z50" s="834">
        <v>0</v>
      </c>
      <c r="AA50" s="834">
        <v>0</v>
      </c>
      <c r="AB50" s="834">
        <v>0</v>
      </c>
      <c r="AC50" s="834">
        <v>0</v>
      </c>
      <c r="AD50" s="834">
        <v>0</v>
      </c>
      <c r="AE50" s="834">
        <v>0</v>
      </c>
      <c r="AF50" s="834">
        <v>0</v>
      </c>
      <c r="AG50" s="834">
        <v>0</v>
      </c>
      <c r="AH50" s="834">
        <v>0</v>
      </c>
      <c r="AI50" s="834">
        <v>0</v>
      </c>
      <c r="AJ50" s="834">
        <v>0</v>
      </c>
      <c r="AK50" s="834">
        <v>0</v>
      </c>
      <c r="AL50" s="834">
        <v>0</v>
      </c>
      <c r="AM50" s="796"/>
    </row>
    <row r="51" spans="1:39">
      <c r="A51" s="809">
        <v>1</v>
      </c>
      <c r="B51" s="823" t="s">
        <v>1648</v>
      </c>
      <c r="C51" s="823"/>
      <c r="D51" s="823"/>
      <c r="E51" s="823"/>
      <c r="F51" s="823"/>
      <c r="G51" s="823"/>
      <c r="H51" s="823"/>
      <c r="I51" s="823"/>
      <c r="J51" s="823"/>
      <c r="K51" s="823"/>
      <c r="L51" s="833">
        <v>6.4</v>
      </c>
      <c r="M51" s="207" t="s">
        <v>363</v>
      </c>
      <c r="N51" s="204" t="s">
        <v>137</v>
      </c>
      <c r="O51" s="834">
        <v>0</v>
      </c>
      <c r="P51" s="834">
        <v>0</v>
      </c>
      <c r="Q51" s="834">
        <v>0</v>
      </c>
      <c r="R51" s="834">
        <v>0</v>
      </c>
      <c r="S51" s="834">
        <v>0</v>
      </c>
      <c r="T51" s="834">
        <v>0</v>
      </c>
      <c r="U51" s="834">
        <v>0</v>
      </c>
      <c r="V51" s="834">
        <v>0</v>
      </c>
      <c r="W51" s="834">
        <v>0</v>
      </c>
      <c r="X51" s="834">
        <v>0</v>
      </c>
      <c r="Y51" s="834">
        <v>0</v>
      </c>
      <c r="Z51" s="834">
        <v>0</v>
      </c>
      <c r="AA51" s="834">
        <v>0</v>
      </c>
      <c r="AB51" s="834">
        <v>0</v>
      </c>
      <c r="AC51" s="834">
        <v>0</v>
      </c>
      <c r="AD51" s="834">
        <v>0</v>
      </c>
      <c r="AE51" s="834">
        <v>0</v>
      </c>
      <c r="AF51" s="834">
        <v>0</v>
      </c>
      <c r="AG51" s="834">
        <v>0</v>
      </c>
      <c r="AH51" s="834">
        <v>0</v>
      </c>
      <c r="AI51" s="834">
        <v>0</v>
      </c>
      <c r="AJ51" s="834">
        <v>0</v>
      </c>
      <c r="AK51" s="834">
        <v>0</v>
      </c>
      <c r="AL51" s="834">
        <v>0</v>
      </c>
      <c r="AM51" s="796"/>
    </row>
    <row r="52" spans="1:39">
      <c r="A52" s="809">
        <v>1</v>
      </c>
      <c r="B52" s="823" t="s">
        <v>1695</v>
      </c>
      <c r="C52" s="823"/>
      <c r="D52" s="823"/>
      <c r="E52" s="823"/>
      <c r="F52" s="823"/>
      <c r="G52" s="823"/>
      <c r="H52" s="823"/>
      <c r="I52" s="823"/>
      <c r="J52" s="823"/>
      <c r="K52" s="823"/>
      <c r="L52" s="833">
        <v>6.5</v>
      </c>
      <c r="M52" s="207" t="s">
        <v>365</v>
      </c>
      <c r="N52" s="204" t="s">
        <v>137</v>
      </c>
      <c r="O52" s="834">
        <v>0</v>
      </c>
      <c r="P52" s="834">
        <v>0</v>
      </c>
      <c r="Q52" s="834">
        <v>0</v>
      </c>
      <c r="R52" s="834">
        <v>0</v>
      </c>
      <c r="S52" s="834">
        <v>0</v>
      </c>
      <c r="T52" s="834">
        <v>0</v>
      </c>
      <c r="U52" s="834">
        <v>0</v>
      </c>
      <c r="V52" s="834">
        <v>0</v>
      </c>
      <c r="W52" s="834">
        <v>0</v>
      </c>
      <c r="X52" s="834">
        <v>0</v>
      </c>
      <c r="Y52" s="834">
        <v>0</v>
      </c>
      <c r="Z52" s="834">
        <v>0</v>
      </c>
      <c r="AA52" s="834">
        <v>0</v>
      </c>
      <c r="AB52" s="834">
        <v>0</v>
      </c>
      <c r="AC52" s="834">
        <v>0</v>
      </c>
      <c r="AD52" s="834">
        <v>0</v>
      </c>
      <c r="AE52" s="834">
        <v>0</v>
      </c>
      <c r="AF52" s="834">
        <v>0</v>
      </c>
      <c r="AG52" s="834">
        <v>0</v>
      </c>
      <c r="AH52" s="834">
        <v>0</v>
      </c>
      <c r="AI52" s="834">
        <v>0</v>
      </c>
      <c r="AJ52" s="834">
        <v>0</v>
      </c>
      <c r="AK52" s="834">
        <v>0</v>
      </c>
      <c r="AL52" s="834">
        <v>0</v>
      </c>
      <c r="AM52" s="796"/>
    </row>
    <row r="53" spans="1:39" s="93" customFormat="1">
      <c r="A53" s="809">
        <v>1</v>
      </c>
      <c r="B53" s="823" t="s">
        <v>1450</v>
      </c>
      <c r="C53" s="830"/>
      <c r="D53" s="830"/>
      <c r="E53" s="830"/>
      <c r="F53" s="830"/>
      <c r="G53" s="830"/>
      <c r="H53" s="830"/>
      <c r="I53" s="830"/>
      <c r="J53" s="830"/>
      <c r="K53" s="830"/>
      <c r="L53" s="831">
        <v>7</v>
      </c>
      <c r="M53" s="203" t="s">
        <v>385</v>
      </c>
      <c r="N53" s="749" t="s">
        <v>352</v>
      </c>
      <c r="O53" s="832">
        <v>71.19</v>
      </c>
      <c r="P53" s="832">
        <v>6039.86</v>
      </c>
      <c r="Q53" s="832">
        <v>0</v>
      </c>
      <c r="R53" s="832">
        <v>71.19</v>
      </c>
      <c r="S53" s="832">
        <v>434.78</v>
      </c>
      <c r="T53" s="832">
        <v>0</v>
      </c>
      <c r="U53" s="832">
        <v>0</v>
      </c>
      <c r="V53" s="832">
        <v>0</v>
      </c>
      <c r="W53" s="832">
        <v>0</v>
      </c>
      <c r="X53" s="832">
        <v>0</v>
      </c>
      <c r="Y53" s="832">
        <v>0</v>
      </c>
      <c r="Z53" s="832">
        <v>0</v>
      </c>
      <c r="AA53" s="832">
        <v>0</v>
      </c>
      <c r="AB53" s="832">
        <v>0</v>
      </c>
      <c r="AC53" s="832">
        <v>0</v>
      </c>
      <c r="AD53" s="832">
        <v>0</v>
      </c>
      <c r="AE53" s="832">
        <v>0</v>
      </c>
      <c r="AF53" s="832">
        <v>0</v>
      </c>
      <c r="AG53" s="832">
        <v>0</v>
      </c>
      <c r="AH53" s="832">
        <v>0</v>
      </c>
      <c r="AI53" s="832">
        <v>0</v>
      </c>
      <c r="AJ53" s="832">
        <v>0</v>
      </c>
      <c r="AK53" s="832">
        <v>0</v>
      </c>
      <c r="AL53" s="832">
        <v>0</v>
      </c>
      <c r="AM53" s="796"/>
    </row>
    <row r="54" spans="1:39">
      <c r="A54" s="809">
        <v>1</v>
      </c>
      <c r="B54" s="823" t="s">
        <v>1686</v>
      </c>
      <c r="C54" s="823"/>
      <c r="D54" s="823"/>
      <c r="E54" s="823"/>
      <c r="F54" s="823"/>
      <c r="G54" s="823"/>
      <c r="H54" s="823"/>
      <c r="I54" s="823"/>
      <c r="J54" s="823"/>
      <c r="K54" s="823"/>
      <c r="L54" s="833">
        <v>7.1</v>
      </c>
      <c r="M54" s="207" t="s">
        <v>358</v>
      </c>
      <c r="N54" s="749" t="s">
        <v>352</v>
      </c>
      <c r="O54" s="834"/>
      <c r="P54" s="834"/>
      <c r="Q54" s="834"/>
      <c r="R54" s="834"/>
      <c r="S54" s="834"/>
      <c r="T54" s="834"/>
      <c r="U54" s="834"/>
      <c r="V54" s="834"/>
      <c r="W54" s="834"/>
      <c r="X54" s="834"/>
      <c r="Y54" s="834"/>
      <c r="Z54" s="834"/>
      <c r="AA54" s="834"/>
      <c r="AB54" s="834"/>
      <c r="AC54" s="834"/>
      <c r="AD54" s="834"/>
      <c r="AE54" s="834"/>
      <c r="AF54" s="834"/>
      <c r="AG54" s="834"/>
      <c r="AH54" s="834"/>
      <c r="AI54" s="834"/>
      <c r="AJ54" s="834"/>
      <c r="AK54" s="834"/>
      <c r="AL54" s="834"/>
      <c r="AM54" s="796"/>
    </row>
    <row r="55" spans="1:39">
      <c r="A55" s="809">
        <v>1</v>
      </c>
      <c r="B55" s="823" t="s">
        <v>1649</v>
      </c>
      <c r="C55" s="823"/>
      <c r="D55" s="823"/>
      <c r="E55" s="823"/>
      <c r="F55" s="823"/>
      <c r="G55" s="823"/>
      <c r="H55" s="823"/>
      <c r="I55" s="823"/>
      <c r="J55" s="823"/>
      <c r="K55" s="823"/>
      <c r="L55" s="833">
        <v>7.2</v>
      </c>
      <c r="M55" s="207" t="s">
        <v>359</v>
      </c>
      <c r="N55" s="749" t="s">
        <v>352</v>
      </c>
      <c r="O55" s="834">
        <v>71.19</v>
      </c>
      <c r="P55" s="834">
        <v>6039.86</v>
      </c>
      <c r="Q55" s="834">
        <v>0</v>
      </c>
      <c r="R55" s="834">
        <v>71.19</v>
      </c>
      <c r="S55" s="834">
        <v>434.78</v>
      </c>
      <c r="T55" s="834"/>
      <c r="U55" s="834"/>
      <c r="V55" s="834"/>
      <c r="W55" s="834"/>
      <c r="X55" s="834"/>
      <c r="Y55" s="834"/>
      <c r="Z55" s="834"/>
      <c r="AA55" s="834"/>
      <c r="AB55" s="834"/>
      <c r="AC55" s="834">
        <v>0</v>
      </c>
      <c r="AD55" s="834"/>
      <c r="AE55" s="834"/>
      <c r="AF55" s="834"/>
      <c r="AG55" s="834"/>
      <c r="AH55" s="834"/>
      <c r="AI55" s="834"/>
      <c r="AJ55" s="834"/>
      <c r="AK55" s="834"/>
      <c r="AL55" s="834"/>
      <c r="AM55" s="796"/>
    </row>
    <row r="56" spans="1:39">
      <c r="A56" s="809">
        <v>1</v>
      </c>
      <c r="B56" s="823" t="s">
        <v>1650</v>
      </c>
      <c r="C56" s="823"/>
      <c r="D56" s="823"/>
      <c r="E56" s="823"/>
      <c r="F56" s="823"/>
      <c r="G56" s="823"/>
      <c r="H56" s="823"/>
      <c r="I56" s="823"/>
      <c r="J56" s="823"/>
      <c r="K56" s="823"/>
      <c r="L56" s="833">
        <v>7.3</v>
      </c>
      <c r="M56" s="207" t="s">
        <v>361</v>
      </c>
      <c r="N56" s="749" t="s">
        <v>352</v>
      </c>
      <c r="O56" s="834"/>
      <c r="P56" s="834"/>
      <c r="Q56" s="834"/>
      <c r="R56" s="834"/>
      <c r="S56" s="834"/>
      <c r="T56" s="834"/>
      <c r="U56" s="834"/>
      <c r="V56" s="834"/>
      <c r="W56" s="834"/>
      <c r="X56" s="834"/>
      <c r="Y56" s="834"/>
      <c r="Z56" s="834"/>
      <c r="AA56" s="834"/>
      <c r="AB56" s="834"/>
      <c r="AC56" s="834"/>
      <c r="AD56" s="834"/>
      <c r="AE56" s="834"/>
      <c r="AF56" s="834"/>
      <c r="AG56" s="834"/>
      <c r="AH56" s="834"/>
      <c r="AI56" s="834"/>
      <c r="AJ56" s="834"/>
      <c r="AK56" s="834"/>
      <c r="AL56" s="834"/>
      <c r="AM56" s="796"/>
    </row>
    <row r="57" spans="1:39">
      <c r="A57" s="809">
        <v>1</v>
      </c>
      <c r="B57" s="823" t="s">
        <v>1651</v>
      </c>
      <c r="C57" s="823"/>
      <c r="D57" s="823"/>
      <c r="E57" s="823"/>
      <c r="F57" s="823"/>
      <c r="G57" s="823"/>
      <c r="H57" s="823"/>
      <c r="I57" s="823"/>
      <c r="J57" s="823"/>
      <c r="K57" s="823"/>
      <c r="L57" s="833">
        <v>7.4</v>
      </c>
      <c r="M57" s="207" t="s">
        <v>363</v>
      </c>
      <c r="N57" s="749" t="s">
        <v>352</v>
      </c>
      <c r="O57" s="834"/>
      <c r="P57" s="834"/>
      <c r="Q57" s="834"/>
      <c r="R57" s="834"/>
      <c r="S57" s="834"/>
      <c r="T57" s="834"/>
      <c r="U57" s="834"/>
      <c r="V57" s="834"/>
      <c r="W57" s="834"/>
      <c r="X57" s="834"/>
      <c r="Y57" s="834"/>
      <c r="Z57" s="834"/>
      <c r="AA57" s="834"/>
      <c r="AB57" s="834"/>
      <c r="AC57" s="834"/>
      <c r="AD57" s="834"/>
      <c r="AE57" s="834"/>
      <c r="AF57" s="834"/>
      <c r="AG57" s="834"/>
      <c r="AH57" s="834"/>
      <c r="AI57" s="834"/>
      <c r="AJ57" s="834"/>
      <c r="AK57" s="834"/>
      <c r="AL57" s="834"/>
      <c r="AM57" s="796"/>
    </row>
    <row r="58" spans="1:39">
      <c r="A58" s="809">
        <v>1</v>
      </c>
      <c r="B58" s="823" t="s">
        <v>1652</v>
      </c>
      <c r="C58" s="823"/>
      <c r="D58" s="823"/>
      <c r="E58" s="823"/>
      <c r="F58" s="823"/>
      <c r="G58" s="823"/>
      <c r="H58" s="823"/>
      <c r="I58" s="823"/>
      <c r="J58" s="823"/>
      <c r="K58" s="823"/>
      <c r="L58" s="833">
        <v>7.5</v>
      </c>
      <c r="M58" s="207" t="s">
        <v>365</v>
      </c>
      <c r="N58" s="749" t="s">
        <v>352</v>
      </c>
      <c r="O58" s="834"/>
      <c r="P58" s="834"/>
      <c r="Q58" s="834"/>
      <c r="R58" s="834"/>
      <c r="S58" s="834"/>
      <c r="T58" s="834"/>
      <c r="U58" s="834"/>
      <c r="V58" s="834"/>
      <c r="W58" s="834"/>
      <c r="X58" s="834"/>
      <c r="Y58" s="834"/>
      <c r="Z58" s="834"/>
      <c r="AA58" s="834"/>
      <c r="AB58" s="834"/>
      <c r="AC58" s="834"/>
      <c r="AD58" s="834"/>
      <c r="AE58" s="834"/>
      <c r="AF58" s="834"/>
      <c r="AG58" s="834"/>
      <c r="AH58" s="834"/>
      <c r="AI58" s="834"/>
      <c r="AJ58" s="834"/>
      <c r="AK58" s="834"/>
      <c r="AL58" s="834"/>
      <c r="AM58" s="796"/>
    </row>
    <row r="59" spans="1:39" s="93" customFormat="1">
      <c r="A59" s="809">
        <v>1</v>
      </c>
      <c r="B59" s="823" t="s">
        <v>1452</v>
      </c>
      <c r="C59" s="830"/>
      <c r="D59" s="830"/>
      <c r="E59" s="830"/>
      <c r="F59" s="830"/>
      <c r="G59" s="830"/>
      <c r="H59" s="830"/>
      <c r="I59" s="830"/>
      <c r="J59" s="830"/>
      <c r="K59" s="830"/>
      <c r="L59" s="831">
        <v>8</v>
      </c>
      <c r="M59" s="203" t="s">
        <v>389</v>
      </c>
      <c r="N59" s="749" t="s">
        <v>352</v>
      </c>
      <c r="O59" s="832">
        <v>0</v>
      </c>
      <c r="P59" s="832">
        <v>0</v>
      </c>
      <c r="Q59" s="832">
        <v>0</v>
      </c>
      <c r="R59" s="832">
        <v>0</v>
      </c>
      <c r="S59" s="832">
        <v>0</v>
      </c>
      <c r="T59" s="832">
        <v>0</v>
      </c>
      <c r="U59" s="832">
        <v>0</v>
      </c>
      <c r="V59" s="832">
        <v>0</v>
      </c>
      <c r="W59" s="832">
        <v>0</v>
      </c>
      <c r="X59" s="832">
        <v>0</v>
      </c>
      <c r="Y59" s="832">
        <v>0</v>
      </c>
      <c r="Z59" s="832">
        <v>0</v>
      </c>
      <c r="AA59" s="832">
        <v>0</v>
      </c>
      <c r="AB59" s="832">
        <v>0</v>
      </c>
      <c r="AC59" s="832">
        <v>0</v>
      </c>
      <c r="AD59" s="832">
        <v>0</v>
      </c>
      <c r="AE59" s="832">
        <v>0</v>
      </c>
      <c r="AF59" s="832">
        <v>0</v>
      </c>
      <c r="AG59" s="832">
        <v>0</v>
      </c>
      <c r="AH59" s="832">
        <v>0</v>
      </c>
      <c r="AI59" s="832">
        <v>0</v>
      </c>
      <c r="AJ59" s="832">
        <v>0</v>
      </c>
      <c r="AK59" s="832">
        <v>0</v>
      </c>
      <c r="AL59" s="832">
        <v>0</v>
      </c>
      <c r="AM59" s="796"/>
    </row>
    <row r="60" spans="1:39">
      <c r="A60" s="809">
        <v>1</v>
      </c>
      <c r="B60" s="823" t="s">
        <v>1454</v>
      </c>
      <c r="C60" s="823"/>
      <c r="D60" s="823"/>
      <c r="E60" s="823"/>
      <c r="F60" s="823"/>
      <c r="G60" s="823"/>
      <c r="H60" s="823"/>
      <c r="I60" s="823"/>
      <c r="J60" s="823"/>
      <c r="K60" s="823"/>
      <c r="L60" s="833">
        <v>8.1</v>
      </c>
      <c r="M60" s="207" t="s">
        <v>358</v>
      </c>
      <c r="N60" s="749" t="s">
        <v>352</v>
      </c>
      <c r="O60" s="834"/>
      <c r="P60" s="834"/>
      <c r="Q60" s="834"/>
      <c r="R60" s="834"/>
      <c r="S60" s="834"/>
      <c r="T60" s="834"/>
      <c r="U60" s="834"/>
      <c r="V60" s="834"/>
      <c r="W60" s="834"/>
      <c r="X60" s="834"/>
      <c r="Y60" s="834"/>
      <c r="Z60" s="834"/>
      <c r="AA60" s="834"/>
      <c r="AB60" s="834"/>
      <c r="AC60" s="834"/>
      <c r="AD60" s="834"/>
      <c r="AE60" s="834"/>
      <c r="AF60" s="834"/>
      <c r="AG60" s="834"/>
      <c r="AH60" s="834"/>
      <c r="AI60" s="834"/>
      <c r="AJ60" s="834"/>
      <c r="AK60" s="834"/>
      <c r="AL60" s="834"/>
      <c r="AM60" s="796"/>
    </row>
    <row r="61" spans="1:39">
      <c r="A61" s="809">
        <v>1</v>
      </c>
      <c r="B61" s="823" t="s">
        <v>1455</v>
      </c>
      <c r="C61" s="823"/>
      <c r="D61" s="823"/>
      <c r="E61" s="823"/>
      <c r="F61" s="823"/>
      <c r="G61" s="823"/>
      <c r="H61" s="823"/>
      <c r="I61" s="823"/>
      <c r="J61" s="823"/>
      <c r="K61" s="823"/>
      <c r="L61" s="833">
        <v>8.1999999999999993</v>
      </c>
      <c r="M61" s="207" t="s">
        <v>359</v>
      </c>
      <c r="N61" s="749" t="s">
        <v>352</v>
      </c>
      <c r="O61" s="834"/>
      <c r="P61" s="834"/>
      <c r="Q61" s="834"/>
      <c r="R61" s="834"/>
      <c r="S61" s="834"/>
      <c r="T61" s="834"/>
      <c r="U61" s="834"/>
      <c r="V61" s="834"/>
      <c r="W61" s="834"/>
      <c r="X61" s="834"/>
      <c r="Y61" s="834"/>
      <c r="Z61" s="834"/>
      <c r="AA61" s="834"/>
      <c r="AB61" s="834"/>
      <c r="AC61" s="834"/>
      <c r="AD61" s="834"/>
      <c r="AE61" s="834"/>
      <c r="AF61" s="834"/>
      <c r="AG61" s="834"/>
      <c r="AH61" s="834"/>
      <c r="AI61" s="834"/>
      <c r="AJ61" s="834"/>
      <c r="AK61" s="834"/>
      <c r="AL61" s="834"/>
      <c r="AM61" s="796"/>
    </row>
    <row r="62" spans="1:39">
      <c r="A62" s="809">
        <v>1</v>
      </c>
      <c r="B62" s="823" t="s">
        <v>1667</v>
      </c>
      <c r="C62" s="823"/>
      <c r="D62" s="823"/>
      <c r="E62" s="823"/>
      <c r="F62" s="823"/>
      <c r="G62" s="823"/>
      <c r="H62" s="823"/>
      <c r="I62" s="823"/>
      <c r="J62" s="823"/>
      <c r="K62" s="823"/>
      <c r="L62" s="833">
        <v>8.3000000000000007</v>
      </c>
      <c r="M62" s="207" t="s">
        <v>361</v>
      </c>
      <c r="N62" s="749" t="s">
        <v>352</v>
      </c>
      <c r="O62" s="834"/>
      <c r="P62" s="834"/>
      <c r="Q62" s="834"/>
      <c r="R62" s="834"/>
      <c r="S62" s="834"/>
      <c r="T62" s="834"/>
      <c r="U62" s="834"/>
      <c r="V62" s="834"/>
      <c r="W62" s="834"/>
      <c r="X62" s="834"/>
      <c r="Y62" s="834"/>
      <c r="Z62" s="834"/>
      <c r="AA62" s="834"/>
      <c r="AB62" s="834"/>
      <c r="AC62" s="834"/>
      <c r="AD62" s="834"/>
      <c r="AE62" s="834"/>
      <c r="AF62" s="834"/>
      <c r="AG62" s="834"/>
      <c r="AH62" s="834"/>
      <c r="AI62" s="834"/>
      <c r="AJ62" s="834"/>
      <c r="AK62" s="834"/>
      <c r="AL62" s="834"/>
      <c r="AM62" s="796"/>
    </row>
    <row r="63" spans="1:39">
      <c r="A63" s="809">
        <v>1</v>
      </c>
      <c r="B63" s="823" t="s">
        <v>1706</v>
      </c>
      <c r="C63" s="823"/>
      <c r="D63" s="823"/>
      <c r="E63" s="823"/>
      <c r="F63" s="823"/>
      <c r="G63" s="823"/>
      <c r="H63" s="823"/>
      <c r="I63" s="823"/>
      <c r="J63" s="823"/>
      <c r="K63" s="823"/>
      <c r="L63" s="833">
        <v>8.4</v>
      </c>
      <c r="M63" s="207" t="s">
        <v>363</v>
      </c>
      <c r="N63" s="749" t="s">
        <v>352</v>
      </c>
      <c r="O63" s="834"/>
      <c r="P63" s="834"/>
      <c r="Q63" s="834"/>
      <c r="R63" s="834"/>
      <c r="S63" s="834"/>
      <c r="T63" s="834"/>
      <c r="U63" s="834"/>
      <c r="V63" s="834"/>
      <c r="W63" s="834"/>
      <c r="X63" s="834"/>
      <c r="Y63" s="834"/>
      <c r="Z63" s="834"/>
      <c r="AA63" s="834"/>
      <c r="AB63" s="834"/>
      <c r="AC63" s="834"/>
      <c r="AD63" s="834"/>
      <c r="AE63" s="834"/>
      <c r="AF63" s="834"/>
      <c r="AG63" s="834"/>
      <c r="AH63" s="834"/>
      <c r="AI63" s="834"/>
      <c r="AJ63" s="834"/>
      <c r="AK63" s="834"/>
      <c r="AL63" s="834"/>
      <c r="AM63" s="796"/>
    </row>
    <row r="64" spans="1:39">
      <c r="A64" s="809">
        <v>1</v>
      </c>
      <c r="B64" s="823" t="s">
        <v>1707</v>
      </c>
      <c r="C64" s="823"/>
      <c r="D64" s="823"/>
      <c r="E64" s="823"/>
      <c r="F64" s="823"/>
      <c r="G64" s="823"/>
      <c r="H64" s="823"/>
      <c r="I64" s="823"/>
      <c r="J64" s="823"/>
      <c r="K64" s="823"/>
      <c r="L64" s="833">
        <v>8.5</v>
      </c>
      <c r="M64" s="207" t="s">
        <v>365</v>
      </c>
      <c r="N64" s="749" t="s">
        <v>352</v>
      </c>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834"/>
      <c r="AM64" s="796"/>
    </row>
    <row r="65" spans="1:39">
      <c r="A65" s="788" t="s">
        <v>102</v>
      </c>
      <c r="B65" s="823"/>
      <c r="C65" s="823"/>
      <c r="D65" s="823"/>
      <c r="E65" s="823"/>
      <c r="F65" s="823"/>
      <c r="G65" s="823"/>
      <c r="H65" s="823"/>
      <c r="I65" s="823"/>
      <c r="J65" s="823"/>
      <c r="K65" s="823"/>
      <c r="L65" s="828" t="s">
        <v>3009</v>
      </c>
      <c r="M65" s="708"/>
      <c r="N65" s="688"/>
      <c r="O65" s="688"/>
      <c r="P65" s="688"/>
      <c r="Q65" s="688"/>
      <c r="R65" s="688"/>
      <c r="S65" s="688"/>
      <c r="T65" s="688"/>
      <c r="U65" s="688"/>
      <c r="V65" s="688"/>
      <c r="W65" s="688"/>
      <c r="X65" s="688"/>
      <c r="Y65" s="688"/>
      <c r="Z65" s="688"/>
      <c r="AA65" s="688"/>
      <c r="AB65" s="688"/>
      <c r="AC65" s="688"/>
      <c r="AD65" s="688"/>
      <c r="AE65" s="688"/>
      <c r="AF65" s="688"/>
      <c r="AG65" s="688"/>
      <c r="AH65" s="688"/>
      <c r="AI65" s="688"/>
      <c r="AJ65" s="688"/>
      <c r="AK65" s="688"/>
      <c r="AL65" s="688"/>
      <c r="AM65" s="829"/>
    </row>
    <row r="66" spans="1:39" s="93" customFormat="1" ht="22.8">
      <c r="A66" s="809">
        <v>2</v>
      </c>
      <c r="B66" s="823" t="s">
        <v>1406</v>
      </c>
      <c r="C66" s="830"/>
      <c r="D66" s="830"/>
      <c r="E66" s="830"/>
      <c r="F66" s="830"/>
      <c r="G66" s="830"/>
      <c r="H66" s="830"/>
      <c r="I66" s="830"/>
      <c r="J66" s="830"/>
      <c r="K66" s="830"/>
      <c r="L66" s="831">
        <v>1</v>
      </c>
      <c r="M66" s="203" t="s">
        <v>357</v>
      </c>
      <c r="N66" s="749" t="s">
        <v>352</v>
      </c>
      <c r="O66" s="832">
        <v>0</v>
      </c>
      <c r="P66" s="832">
        <v>0</v>
      </c>
      <c r="Q66" s="832">
        <v>0</v>
      </c>
      <c r="R66" s="832">
        <v>0</v>
      </c>
      <c r="S66" s="832">
        <v>0</v>
      </c>
      <c r="T66" s="832">
        <v>0</v>
      </c>
      <c r="U66" s="832">
        <v>0</v>
      </c>
      <c r="V66" s="832">
        <v>0</v>
      </c>
      <c r="W66" s="832">
        <v>0</v>
      </c>
      <c r="X66" s="832">
        <v>0</v>
      </c>
      <c r="Y66" s="832">
        <v>0</v>
      </c>
      <c r="Z66" s="832">
        <v>0</v>
      </c>
      <c r="AA66" s="832">
        <v>0</v>
      </c>
      <c r="AB66" s="832">
        <v>0</v>
      </c>
      <c r="AC66" s="832">
        <v>0</v>
      </c>
      <c r="AD66" s="832">
        <v>0</v>
      </c>
      <c r="AE66" s="832">
        <v>0</v>
      </c>
      <c r="AF66" s="832">
        <v>0</v>
      </c>
      <c r="AG66" s="832">
        <v>0</v>
      </c>
      <c r="AH66" s="832">
        <v>0</v>
      </c>
      <c r="AI66" s="832">
        <v>0</v>
      </c>
      <c r="AJ66" s="832">
        <v>0</v>
      </c>
      <c r="AK66" s="832">
        <v>0</v>
      </c>
      <c r="AL66" s="832">
        <v>0</v>
      </c>
      <c r="AM66" s="796"/>
    </row>
    <row r="67" spans="1:39">
      <c r="A67" s="809">
        <v>2</v>
      </c>
      <c r="B67" s="823" t="s">
        <v>1407</v>
      </c>
      <c r="C67" s="823"/>
      <c r="D67" s="823"/>
      <c r="E67" s="823"/>
      <c r="F67" s="823"/>
      <c r="G67" s="823"/>
      <c r="H67" s="823"/>
      <c r="I67" s="823"/>
      <c r="J67" s="823"/>
      <c r="K67" s="823"/>
      <c r="L67" s="833">
        <v>1.1000000000000001</v>
      </c>
      <c r="M67" s="207" t="s">
        <v>358</v>
      </c>
      <c r="N67" s="749" t="s">
        <v>352</v>
      </c>
      <c r="O67" s="834"/>
      <c r="P67" s="834"/>
      <c r="Q67" s="834"/>
      <c r="R67" s="834"/>
      <c r="S67" s="834"/>
      <c r="T67" s="834"/>
      <c r="U67" s="834"/>
      <c r="V67" s="834"/>
      <c r="W67" s="834"/>
      <c r="X67" s="834"/>
      <c r="Y67" s="834"/>
      <c r="Z67" s="834"/>
      <c r="AA67" s="834"/>
      <c r="AB67" s="834"/>
      <c r="AC67" s="834"/>
      <c r="AD67" s="834"/>
      <c r="AE67" s="834"/>
      <c r="AF67" s="834"/>
      <c r="AG67" s="834"/>
      <c r="AH67" s="834"/>
      <c r="AI67" s="834"/>
      <c r="AJ67" s="834"/>
      <c r="AK67" s="834"/>
      <c r="AL67" s="834"/>
      <c r="AM67" s="796"/>
    </row>
    <row r="68" spans="1:39">
      <c r="A68" s="809">
        <v>2</v>
      </c>
      <c r="B68" s="823" t="s">
        <v>1408</v>
      </c>
      <c r="C68" s="823"/>
      <c r="D68" s="823"/>
      <c r="E68" s="823"/>
      <c r="F68" s="823"/>
      <c r="G68" s="823"/>
      <c r="H68" s="823"/>
      <c r="I68" s="823"/>
      <c r="J68" s="823"/>
      <c r="K68" s="823"/>
      <c r="L68" s="833">
        <v>1.2</v>
      </c>
      <c r="M68" s="207" t="s">
        <v>359</v>
      </c>
      <c r="N68" s="749" t="s">
        <v>352</v>
      </c>
      <c r="O68" s="834"/>
      <c r="P68" s="834"/>
      <c r="Q68" s="834"/>
      <c r="R68" s="834"/>
      <c r="S68" s="834"/>
      <c r="T68" s="834"/>
      <c r="U68" s="834"/>
      <c r="V68" s="834"/>
      <c r="W68" s="834"/>
      <c r="X68" s="834"/>
      <c r="Y68" s="834"/>
      <c r="Z68" s="834"/>
      <c r="AA68" s="834"/>
      <c r="AB68" s="834"/>
      <c r="AC68" s="834"/>
      <c r="AD68" s="834"/>
      <c r="AE68" s="834"/>
      <c r="AF68" s="834"/>
      <c r="AG68" s="834"/>
      <c r="AH68" s="834"/>
      <c r="AI68" s="834"/>
      <c r="AJ68" s="834"/>
      <c r="AK68" s="834"/>
      <c r="AL68" s="834"/>
      <c r="AM68" s="796"/>
    </row>
    <row r="69" spans="1:39">
      <c r="A69" s="809">
        <v>2</v>
      </c>
      <c r="B69" s="823" t="s">
        <v>1519</v>
      </c>
      <c r="C69" s="823"/>
      <c r="D69" s="823"/>
      <c r="E69" s="823"/>
      <c r="F69" s="823"/>
      <c r="G69" s="823"/>
      <c r="H69" s="823"/>
      <c r="I69" s="823"/>
      <c r="J69" s="823"/>
      <c r="K69" s="823"/>
      <c r="L69" s="833">
        <v>1.3</v>
      </c>
      <c r="M69" s="207" t="s">
        <v>361</v>
      </c>
      <c r="N69" s="749" t="s">
        <v>352</v>
      </c>
      <c r="O69" s="834"/>
      <c r="P69" s="834"/>
      <c r="Q69" s="834"/>
      <c r="R69" s="834"/>
      <c r="S69" s="834"/>
      <c r="T69" s="834"/>
      <c r="U69" s="834"/>
      <c r="V69" s="834"/>
      <c r="W69" s="834"/>
      <c r="X69" s="834"/>
      <c r="Y69" s="834"/>
      <c r="Z69" s="834"/>
      <c r="AA69" s="834"/>
      <c r="AB69" s="834"/>
      <c r="AC69" s="834"/>
      <c r="AD69" s="834"/>
      <c r="AE69" s="834"/>
      <c r="AF69" s="834"/>
      <c r="AG69" s="834"/>
      <c r="AH69" s="834"/>
      <c r="AI69" s="834"/>
      <c r="AJ69" s="834"/>
      <c r="AK69" s="834"/>
      <c r="AL69" s="834"/>
      <c r="AM69" s="796"/>
    </row>
    <row r="70" spans="1:39">
      <c r="A70" s="809">
        <v>2</v>
      </c>
      <c r="B70" s="823" t="s">
        <v>1527</v>
      </c>
      <c r="C70" s="823"/>
      <c r="D70" s="823"/>
      <c r="E70" s="823"/>
      <c r="F70" s="823"/>
      <c r="G70" s="823"/>
      <c r="H70" s="823"/>
      <c r="I70" s="823"/>
      <c r="J70" s="823"/>
      <c r="K70" s="823"/>
      <c r="L70" s="833">
        <v>1.4</v>
      </c>
      <c r="M70" s="207" t="s">
        <v>363</v>
      </c>
      <c r="N70" s="749" t="s">
        <v>352</v>
      </c>
      <c r="O70" s="834"/>
      <c r="P70" s="834"/>
      <c r="Q70" s="834"/>
      <c r="R70" s="834"/>
      <c r="S70" s="834"/>
      <c r="T70" s="834"/>
      <c r="U70" s="834"/>
      <c r="V70" s="834"/>
      <c r="W70" s="834"/>
      <c r="X70" s="834"/>
      <c r="Y70" s="834"/>
      <c r="Z70" s="834"/>
      <c r="AA70" s="834"/>
      <c r="AB70" s="834"/>
      <c r="AC70" s="834"/>
      <c r="AD70" s="834"/>
      <c r="AE70" s="834"/>
      <c r="AF70" s="834"/>
      <c r="AG70" s="834"/>
      <c r="AH70" s="834"/>
      <c r="AI70" s="834"/>
      <c r="AJ70" s="834"/>
      <c r="AK70" s="834"/>
      <c r="AL70" s="834"/>
      <c r="AM70" s="796"/>
    </row>
    <row r="71" spans="1:39">
      <c r="A71" s="809">
        <v>2</v>
      </c>
      <c r="B71" s="823" t="s">
        <v>1565</v>
      </c>
      <c r="C71" s="823"/>
      <c r="D71" s="823"/>
      <c r="E71" s="823"/>
      <c r="F71" s="823"/>
      <c r="G71" s="823"/>
      <c r="H71" s="823"/>
      <c r="I71" s="823"/>
      <c r="J71" s="823"/>
      <c r="K71" s="823"/>
      <c r="L71" s="833">
        <v>1.5</v>
      </c>
      <c r="M71" s="207" t="s">
        <v>365</v>
      </c>
      <c r="N71" s="749" t="s">
        <v>352</v>
      </c>
      <c r="O71" s="834"/>
      <c r="P71" s="834"/>
      <c r="Q71" s="834"/>
      <c r="R71" s="834"/>
      <c r="S71" s="834"/>
      <c r="T71" s="834"/>
      <c r="U71" s="834"/>
      <c r="V71" s="834"/>
      <c r="W71" s="834"/>
      <c r="X71" s="834"/>
      <c r="Y71" s="834"/>
      <c r="Z71" s="834"/>
      <c r="AA71" s="834"/>
      <c r="AB71" s="834"/>
      <c r="AC71" s="834"/>
      <c r="AD71" s="834"/>
      <c r="AE71" s="834"/>
      <c r="AF71" s="834"/>
      <c r="AG71" s="834"/>
      <c r="AH71" s="834"/>
      <c r="AI71" s="834"/>
      <c r="AJ71" s="834"/>
      <c r="AK71" s="834"/>
      <c r="AL71" s="834"/>
      <c r="AM71" s="796"/>
    </row>
    <row r="72" spans="1:39" s="93" customFormat="1">
      <c r="A72" s="809">
        <v>2</v>
      </c>
      <c r="B72" s="823" t="s">
        <v>1438</v>
      </c>
      <c r="C72" s="830"/>
      <c r="D72" s="830"/>
      <c r="E72" s="830"/>
      <c r="F72" s="830"/>
      <c r="G72" s="830"/>
      <c r="H72" s="830"/>
      <c r="I72" s="830"/>
      <c r="J72" s="830"/>
      <c r="K72" s="830"/>
      <c r="L72" s="831">
        <v>2</v>
      </c>
      <c r="M72" s="203" t="s">
        <v>366</v>
      </c>
      <c r="N72" s="749" t="s">
        <v>352</v>
      </c>
      <c r="O72" s="832">
        <v>0</v>
      </c>
      <c r="P72" s="832">
        <v>0</v>
      </c>
      <c r="Q72" s="832">
        <v>0</v>
      </c>
      <c r="R72" s="832">
        <v>0</v>
      </c>
      <c r="S72" s="832">
        <v>0</v>
      </c>
      <c r="T72" s="832">
        <v>0</v>
      </c>
      <c r="U72" s="832">
        <v>0</v>
      </c>
      <c r="V72" s="832">
        <v>0</v>
      </c>
      <c r="W72" s="832">
        <v>0</v>
      </c>
      <c r="X72" s="832">
        <v>0</v>
      </c>
      <c r="Y72" s="832">
        <v>0</v>
      </c>
      <c r="Z72" s="832">
        <v>0</v>
      </c>
      <c r="AA72" s="832">
        <v>0</v>
      </c>
      <c r="AB72" s="832">
        <v>0</v>
      </c>
      <c r="AC72" s="832">
        <v>0</v>
      </c>
      <c r="AD72" s="832">
        <v>0</v>
      </c>
      <c r="AE72" s="832">
        <v>0</v>
      </c>
      <c r="AF72" s="832">
        <v>0</v>
      </c>
      <c r="AG72" s="832">
        <v>0</v>
      </c>
      <c r="AH72" s="832">
        <v>0</v>
      </c>
      <c r="AI72" s="832">
        <v>0</v>
      </c>
      <c r="AJ72" s="832">
        <v>0</v>
      </c>
      <c r="AK72" s="832">
        <v>0</v>
      </c>
      <c r="AL72" s="832">
        <v>0</v>
      </c>
      <c r="AM72" s="796"/>
    </row>
    <row r="73" spans="1:39">
      <c r="A73" s="809">
        <v>2</v>
      </c>
      <c r="B73" s="823" t="s">
        <v>1439</v>
      </c>
      <c r="C73" s="823"/>
      <c r="D73" s="823"/>
      <c r="E73" s="823"/>
      <c r="F73" s="823"/>
      <c r="G73" s="823"/>
      <c r="H73" s="823"/>
      <c r="I73" s="823"/>
      <c r="J73" s="823"/>
      <c r="K73" s="823"/>
      <c r="L73" s="833">
        <v>2.1</v>
      </c>
      <c r="M73" s="207" t="s">
        <v>358</v>
      </c>
      <c r="N73" s="749" t="s">
        <v>352</v>
      </c>
      <c r="O73" s="834"/>
      <c r="P73" s="834"/>
      <c r="Q73" s="834"/>
      <c r="R73" s="834"/>
      <c r="S73" s="834"/>
      <c r="T73" s="834"/>
      <c r="U73" s="834"/>
      <c r="V73" s="834"/>
      <c r="W73" s="834"/>
      <c r="X73" s="834"/>
      <c r="Y73" s="834"/>
      <c r="Z73" s="834"/>
      <c r="AA73" s="834"/>
      <c r="AB73" s="834"/>
      <c r="AC73" s="834"/>
      <c r="AD73" s="834"/>
      <c r="AE73" s="834"/>
      <c r="AF73" s="834"/>
      <c r="AG73" s="834"/>
      <c r="AH73" s="834"/>
      <c r="AI73" s="834"/>
      <c r="AJ73" s="834"/>
      <c r="AK73" s="834"/>
      <c r="AL73" s="834"/>
      <c r="AM73" s="796"/>
    </row>
    <row r="74" spans="1:39">
      <c r="A74" s="809">
        <v>2</v>
      </c>
      <c r="B74" s="823" t="s">
        <v>1576</v>
      </c>
      <c r="C74" s="823"/>
      <c r="D74" s="823"/>
      <c r="E74" s="823"/>
      <c r="F74" s="823"/>
      <c r="G74" s="823"/>
      <c r="H74" s="823"/>
      <c r="I74" s="823"/>
      <c r="J74" s="823"/>
      <c r="K74" s="823"/>
      <c r="L74" s="833">
        <v>2.2000000000000002</v>
      </c>
      <c r="M74" s="207" t="s">
        <v>359</v>
      </c>
      <c r="N74" s="749" t="s">
        <v>352</v>
      </c>
      <c r="O74" s="834"/>
      <c r="P74" s="834"/>
      <c r="Q74" s="834"/>
      <c r="R74" s="834"/>
      <c r="S74" s="834"/>
      <c r="T74" s="834"/>
      <c r="U74" s="834"/>
      <c r="V74" s="834"/>
      <c r="W74" s="834"/>
      <c r="X74" s="834"/>
      <c r="Y74" s="834"/>
      <c r="Z74" s="834"/>
      <c r="AA74" s="834"/>
      <c r="AB74" s="834"/>
      <c r="AC74" s="834"/>
      <c r="AD74" s="834"/>
      <c r="AE74" s="834"/>
      <c r="AF74" s="834"/>
      <c r="AG74" s="834"/>
      <c r="AH74" s="834"/>
      <c r="AI74" s="834"/>
      <c r="AJ74" s="834"/>
      <c r="AK74" s="834"/>
      <c r="AL74" s="834"/>
      <c r="AM74" s="796"/>
    </row>
    <row r="75" spans="1:39">
      <c r="A75" s="809">
        <v>2</v>
      </c>
      <c r="B75" s="823" t="s">
        <v>1577</v>
      </c>
      <c r="C75" s="823"/>
      <c r="D75" s="823"/>
      <c r="E75" s="823"/>
      <c r="F75" s="823"/>
      <c r="G75" s="823"/>
      <c r="H75" s="823"/>
      <c r="I75" s="823"/>
      <c r="J75" s="823"/>
      <c r="K75" s="823"/>
      <c r="L75" s="833">
        <v>2.2999999999999998</v>
      </c>
      <c r="M75" s="207" t="s">
        <v>361</v>
      </c>
      <c r="N75" s="749" t="s">
        <v>352</v>
      </c>
      <c r="O75" s="834"/>
      <c r="P75" s="834"/>
      <c r="Q75" s="834"/>
      <c r="R75" s="834"/>
      <c r="S75" s="834"/>
      <c r="T75" s="834"/>
      <c r="U75" s="834"/>
      <c r="V75" s="834"/>
      <c r="W75" s="834"/>
      <c r="X75" s="834"/>
      <c r="Y75" s="834"/>
      <c r="Z75" s="834"/>
      <c r="AA75" s="834"/>
      <c r="AB75" s="834"/>
      <c r="AC75" s="834"/>
      <c r="AD75" s="834"/>
      <c r="AE75" s="834"/>
      <c r="AF75" s="834"/>
      <c r="AG75" s="834"/>
      <c r="AH75" s="834"/>
      <c r="AI75" s="834"/>
      <c r="AJ75" s="834"/>
      <c r="AK75" s="834"/>
      <c r="AL75" s="834"/>
      <c r="AM75" s="796"/>
    </row>
    <row r="76" spans="1:39">
      <c r="A76" s="809">
        <v>2</v>
      </c>
      <c r="B76" s="823" t="s">
        <v>1587</v>
      </c>
      <c r="C76" s="823"/>
      <c r="D76" s="823"/>
      <c r="E76" s="823"/>
      <c r="F76" s="823"/>
      <c r="G76" s="823"/>
      <c r="H76" s="823"/>
      <c r="I76" s="823"/>
      <c r="J76" s="823"/>
      <c r="K76" s="823"/>
      <c r="L76" s="833">
        <v>2.4</v>
      </c>
      <c r="M76" s="207" t="s">
        <v>363</v>
      </c>
      <c r="N76" s="749" t="s">
        <v>352</v>
      </c>
      <c r="O76" s="834"/>
      <c r="P76" s="834"/>
      <c r="Q76" s="834"/>
      <c r="R76" s="834"/>
      <c r="S76" s="834"/>
      <c r="T76" s="834"/>
      <c r="U76" s="834"/>
      <c r="V76" s="834"/>
      <c r="W76" s="834"/>
      <c r="X76" s="834"/>
      <c r="Y76" s="834"/>
      <c r="Z76" s="834"/>
      <c r="AA76" s="834"/>
      <c r="AB76" s="834"/>
      <c r="AC76" s="834"/>
      <c r="AD76" s="834"/>
      <c r="AE76" s="834"/>
      <c r="AF76" s="834"/>
      <c r="AG76" s="834"/>
      <c r="AH76" s="834"/>
      <c r="AI76" s="834"/>
      <c r="AJ76" s="834"/>
      <c r="AK76" s="834"/>
      <c r="AL76" s="834"/>
      <c r="AM76" s="796"/>
    </row>
    <row r="77" spans="1:39">
      <c r="A77" s="809">
        <v>2</v>
      </c>
      <c r="B77" s="823" t="s">
        <v>1588</v>
      </c>
      <c r="C77" s="823"/>
      <c r="D77" s="823"/>
      <c r="E77" s="823"/>
      <c r="F77" s="823"/>
      <c r="G77" s="823"/>
      <c r="H77" s="823"/>
      <c r="I77" s="823"/>
      <c r="J77" s="823"/>
      <c r="K77" s="823"/>
      <c r="L77" s="833">
        <v>2.5</v>
      </c>
      <c r="M77" s="207" t="s">
        <v>365</v>
      </c>
      <c r="N77" s="749" t="s">
        <v>352</v>
      </c>
      <c r="O77" s="834"/>
      <c r="P77" s="834"/>
      <c r="Q77" s="834"/>
      <c r="R77" s="834"/>
      <c r="S77" s="834"/>
      <c r="T77" s="834"/>
      <c r="U77" s="834"/>
      <c r="V77" s="834"/>
      <c r="W77" s="834"/>
      <c r="X77" s="834"/>
      <c r="Y77" s="834"/>
      <c r="Z77" s="834"/>
      <c r="AA77" s="834"/>
      <c r="AB77" s="834"/>
      <c r="AC77" s="834"/>
      <c r="AD77" s="834"/>
      <c r="AE77" s="834"/>
      <c r="AF77" s="834"/>
      <c r="AG77" s="834"/>
      <c r="AH77" s="834"/>
      <c r="AI77" s="834"/>
      <c r="AJ77" s="834"/>
      <c r="AK77" s="834"/>
      <c r="AL77" s="834"/>
      <c r="AM77" s="796"/>
    </row>
    <row r="78" spans="1:39" s="93" customFormat="1">
      <c r="A78" s="809">
        <v>2</v>
      </c>
      <c r="B78" s="823" t="s">
        <v>1442</v>
      </c>
      <c r="C78" s="830"/>
      <c r="D78" s="830"/>
      <c r="E78" s="830"/>
      <c r="F78" s="830"/>
      <c r="G78" s="830"/>
      <c r="H78" s="830"/>
      <c r="I78" s="830"/>
      <c r="J78" s="830"/>
      <c r="K78" s="830"/>
      <c r="L78" s="831">
        <v>3</v>
      </c>
      <c r="M78" s="203" t="s">
        <v>368</v>
      </c>
      <c r="N78" s="749" t="s">
        <v>352</v>
      </c>
      <c r="O78" s="832">
        <v>0</v>
      </c>
      <c r="P78" s="832">
        <v>0</v>
      </c>
      <c r="Q78" s="832">
        <v>0</v>
      </c>
      <c r="R78" s="832">
        <v>0</v>
      </c>
      <c r="S78" s="832">
        <v>0</v>
      </c>
      <c r="T78" s="832">
        <v>0</v>
      </c>
      <c r="U78" s="832">
        <v>0</v>
      </c>
      <c r="V78" s="832">
        <v>0</v>
      </c>
      <c r="W78" s="832">
        <v>0</v>
      </c>
      <c r="X78" s="832">
        <v>0</v>
      </c>
      <c r="Y78" s="832">
        <v>0</v>
      </c>
      <c r="Z78" s="832">
        <v>0</v>
      </c>
      <c r="AA78" s="832">
        <v>0</v>
      </c>
      <c r="AB78" s="832">
        <v>0</v>
      </c>
      <c r="AC78" s="832">
        <v>0</v>
      </c>
      <c r="AD78" s="832">
        <v>0</v>
      </c>
      <c r="AE78" s="832">
        <v>0</v>
      </c>
      <c r="AF78" s="832">
        <v>0</v>
      </c>
      <c r="AG78" s="832">
        <v>0</v>
      </c>
      <c r="AH78" s="832">
        <v>0</v>
      </c>
      <c r="AI78" s="832">
        <v>0</v>
      </c>
      <c r="AJ78" s="832">
        <v>0</v>
      </c>
      <c r="AK78" s="832">
        <v>0</v>
      </c>
      <c r="AL78" s="832">
        <v>0</v>
      </c>
      <c r="AM78" s="796"/>
    </row>
    <row r="79" spans="1:39">
      <c r="A79" s="809">
        <v>2</v>
      </c>
      <c r="B79" s="823" t="s">
        <v>1632</v>
      </c>
      <c r="C79" s="823"/>
      <c r="D79" s="823"/>
      <c r="E79" s="823"/>
      <c r="F79" s="823"/>
      <c r="G79" s="823"/>
      <c r="H79" s="823"/>
      <c r="I79" s="823"/>
      <c r="J79" s="823"/>
      <c r="K79" s="823"/>
      <c r="L79" s="833">
        <v>3.1</v>
      </c>
      <c r="M79" s="207" t="s">
        <v>358</v>
      </c>
      <c r="N79" s="749" t="s">
        <v>352</v>
      </c>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796"/>
    </row>
    <row r="80" spans="1:39">
      <c r="A80" s="809">
        <v>2</v>
      </c>
      <c r="B80" s="823" t="s">
        <v>1633</v>
      </c>
      <c r="C80" s="823"/>
      <c r="D80" s="823"/>
      <c r="E80" s="823"/>
      <c r="F80" s="823"/>
      <c r="G80" s="823"/>
      <c r="H80" s="823"/>
      <c r="I80" s="823"/>
      <c r="J80" s="823"/>
      <c r="K80" s="823"/>
      <c r="L80" s="833">
        <v>3.2</v>
      </c>
      <c r="M80" s="207" t="s">
        <v>359</v>
      </c>
      <c r="N80" s="749" t="s">
        <v>352</v>
      </c>
      <c r="O80" s="834"/>
      <c r="P80" s="834"/>
      <c r="Q80" s="834"/>
      <c r="R80" s="834"/>
      <c r="S80" s="834"/>
      <c r="T80" s="834"/>
      <c r="U80" s="834"/>
      <c r="V80" s="834"/>
      <c r="W80" s="834"/>
      <c r="X80" s="834"/>
      <c r="Y80" s="834"/>
      <c r="Z80" s="834"/>
      <c r="AA80" s="834"/>
      <c r="AB80" s="834"/>
      <c r="AC80" s="834"/>
      <c r="AD80" s="834"/>
      <c r="AE80" s="834"/>
      <c r="AF80" s="834"/>
      <c r="AG80" s="834"/>
      <c r="AH80" s="834"/>
      <c r="AI80" s="834"/>
      <c r="AJ80" s="834"/>
      <c r="AK80" s="834"/>
      <c r="AL80" s="834"/>
      <c r="AM80" s="796"/>
    </row>
    <row r="81" spans="1:39">
      <c r="A81" s="809">
        <v>2</v>
      </c>
      <c r="B81" s="823" t="s">
        <v>1634</v>
      </c>
      <c r="C81" s="823"/>
      <c r="D81" s="823"/>
      <c r="E81" s="823"/>
      <c r="F81" s="823"/>
      <c r="G81" s="823"/>
      <c r="H81" s="823"/>
      <c r="I81" s="823"/>
      <c r="J81" s="823"/>
      <c r="K81" s="823"/>
      <c r="L81" s="833">
        <v>3.3</v>
      </c>
      <c r="M81" s="207" t="s">
        <v>361</v>
      </c>
      <c r="N81" s="749" t="s">
        <v>352</v>
      </c>
      <c r="O81" s="834"/>
      <c r="P81" s="834"/>
      <c r="Q81" s="834"/>
      <c r="R81" s="834"/>
      <c r="S81" s="834"/>
      <c r="T81" s="834"/>
      <c r="U81" s="834"/>
      <c r="V81" s="834"/>
      <c r="W81" s="834"/>
      <c r="X81" s="834"/>
      <c r="Y81" s="834"/>
      <c r="Z81" s="834"/>
      <c r="AA81" s="834"/>
      <c r="AB81" s="834"/>
      <c r="AC81" s="834"/>
      <c r="AD81" s="834"/>
      <c r="AE81" s="834"/>
      <c r="AF81" s="834"/>
      <c r="AG81" s="834"/>
      <c r="AH81" s="834"/>
      <c r="AI81" s="834"/>
      <c r="AJ81" s="834"/>
      <c r="AK81" s="834"/>
      <c r="AL81" s="834"/>
      <c r="AM81" s="796"/>
    </row>
    <row r="82" spans="1:39">
      <c r="A82" s="809">
        <v>2</v>
      </c>
      <c r="B82" s="823" t="s">
        <v>1702</v>
      </c>
      <c r="C82" s="823"/>
      <c r="D82" s="823"/>
      <c r="E82" s="823"/>
      <c r="F82" s="823"/>
      <c r="G82" s="823"/>
      <c r="H82" s="823"/>
      <c r="I82" s="823"/>
      <c r="J82" s="823"/>
      <c r="K82" s="823"/>
      <c r="L82" s="833">
        <v>3.4</v>
      </c>
      <c r="M82" s="207" t="s">
        <v>363</v>
      </c>
      <c r="N82" s="749" t="s">
        <v>352</v>
      </c>
      <c r="O82" s="834"/>
      <c r="P82" s="834"/>
      <c r="Q82" s="834"/>
      <c r="R82" s="834"/>
      <c r="S82" s="834"/>
      <c r="T82" s="834"/>
      <c r="U82" s="834"/>
      <c r="V82" s="834"/>
      <c r="W82" s="834"/>
      <c r="X82" s="834"/>
      <c r="Y82" s="834"/>
      <c r="Z82" s="834"/>
      <c r="AA82" s="834"/>
      <c r="AB82" s="834"/>
      <c r="AC82" s="834"/>
      <c r="AD82" s="834"/>
      <c r="AE82" s="834"/>
      <c r="AF82" s="834"/>
      <c r="AG82" s="834"/>
      <c r="AH82" s="834"/>
      <c r="AI82" s="834"/>
      <c r="AJ82" s="834"/>
      <c r="AK82" s="834"/>
      <c r="AL82" s="834"/>
      <c r="AM82" s="796"/>
    </row>
    <row r="83" spans="1:39">
      <c r="A83" s="809">
        <v>2</v>
      </c>
      <c r="B83" s="823" t="s">
        <v>1703</v>
      </c>
      <c r="C83" s="823"/>
      <c r="D83" s="823"/>
      <c r="E83" s="823"/>
      <c r="F83" s="823"/>
      <c r="G83" s="823"/>
      <c r="H83" s="823"/>
      <c r="I83" s="823"/>
      <c r="J83" s="823"/>
      <c r="K83" s="823"/>
      <c r="L83" s="833">
        <v>3.5</v>
      </c>
      <c r="M83" s="207" t="s">
        <v>365</v>
      </c>
      <c r="N83" s="749" t="s">
        <v>352</v>
      </c>
      <c r="O83" s="834"/>
      <c r="P83" s="834"/>
      <c r="Q83" s="834"/>
      <c r="R83" s="834"/>
      <c r="S83" s="834"/>
      <c r="T83" s="834"/>
      <c r="U83" s="834"/>
      <c r="V83" s="834"/>
      <c r="W83" s="834"/>
      <c r="X83" s="834"/>
      <c r="Y83" s="834"/>
      <c r="Z83" s="834"/>
      <c r="AA83" s="834"/>
      <c r="AB83" s="834"/>
      <c r="AC83" s="834"/>
      <c r="AD83" s="834"/>
      <c r="AE83" s="834"/>
      <c r="AF83" s="834"/>
      <c r="AG83" s="834"/>
      <c r="AH83" s="834"/>
      <c r="AI83" s="834"/>
      <c r="AJ83" s="834"/>
      <c r="AK83" s="834"/>
      <c r="AL83" s="834"/>
      <c r="AM83" s="796"/>
    </row>
    <row r="84" spans="1:39" s="93" customFormat="1" ht="22.8">
      <c r="A84" s="809">
        <v>2</v>
      </c>
      <c r="B84" s="823" t="s">
        <v>1444</v>
      </c>
      <c r="C84" s="830"/>
      <c r="D84" s="830"/>
      <c r="E84" s="830"/>
      <c r="F84" s="830"/>
      <c r="G84" s="830"/>
      <c r="H84" s="830"/>
      <c r="I84" s="830"/>
      <c r="J84" s="830"/>
      <c r="K84" s="830"/>
      <c r="L84" s="831">
        <v>4</v>
      </c>
      <c r="M84" s="203" t="s">
        <v>372</v>
      </c>
      <c r="N84" s="749" t="s">
        <v>352</v>
      </c>
      <c r="O84" s="832">
        <v>0</v>
      </c>
      <c r="P84" s="832">
        <v>0</v>
      </c>
      <c r="Q84" s="832">
        <v>0</v>
      </c>
      <c r="R84" s="832">
        <v>0</v>
      </c>
      <c r="S84" s="832">
        <v>0</v>
      </c>
      <c r="T84" s="832">
        <v>0</v>
      </c>
      <c r="U84" s="832">
        <v>0</v>
      </c>
      <c r="V84" s="832">
        <v>0</v>
      </c>
      <c r="W84" s="832">
        <v>0</v>
      </c>
      <c r="X84" s="832">
        <v>0</v>
      </c>
      <c r="Y84" s="832">
        <v>0</v>
      </c>
      <c r="Z84" s="832">
        <v>0</v>
      </c>
      <c r="AA84" s="832">
        <v>0</v>
      </c>
      <c r="AB84" s="832">
        <v>0</v>
      </c>
      <c r="AC84" s="832">
        <v>0</v>
      </c>
      <c r="AD84" s="832">
        <v>0</v>
      </c>
      <c r="AE84" s="832">
        <v>0</v>
      </c>
      <c r="AF84" s="832">
        <v>0</v>
      </c>
      <c r="AG84" s="832">
        <v>0</v>
      </c>
      <c r="AH84" s="832">
        <v>0</v>
      </c>
      <c r="AI84" s="832">
        <v>0</v>
      </c>
      <c r="AJ84" s="832">
        <v>0</v>
      </c>
      <c r="AK84" s="832">
        <v>0</v>
      </c>
      <c r="AL84" s="832">
        <v>0</v>
      </c>
      <c r="AM84" s="796"/>
    </row>
    <row r="85" spans="1:39">
      <c r="A85" s="809">
        <v>2</v>
      </c>
      <c r="B85" s="823" t="s">
        <v>1598</v>
      </c>
      <c r="C85" s="823"/>
      <c r="D85" s="823"/>
      <c r="E85" s="823"/>
      <c r="F85" s="823"/>
      <c r="G85" s="823"/>
      <c r="H85" s="823"/>
      <c r="I85" s="823"/>
      <c r="J85" s="823"/>
      <c r="K85" s="823"/>
      <c r="L85" s="833">
        <v>4.0999999999999996</v>
      </c>
      <c r="M85" s="207" t="s">
        <v>358</v>
      </c>
      <c r="N85" s="749" t="s">
        <v>352</v>
      </c>
      <c r="O85" s="834">
        <v>0</v>
      </c>
      <c r="P85" s="834">
        <v>0</v>
      </c>
      <c r="Q85" s="834">
        <v>0</v>
      </c>
      <c r="R85" s="834">
        <v>0</v>
      </c>
      <c r="S85" s="834">
        <v>0</v>
      </c>
      <c r="T85" s="834">
        <v>0</v>
      </c>
      <c r="U85" s="834">
        <v>0</v>
      </c>
      <c r="V85" s="834">
        <v>0</v>
      </c>
      <c r="W85" s="834">
        <v>0</v>
      </c>
      <c r="X85" s="834">
        <v>0</v>
      </c>
      <c r="Y85" s="834">
        <v>0</v>
      </c>
      <c r="Z85" s="834">
        <v>0</v>
      </c>
      <c r="AA85" s="834">
        <v>0</v>
      </c>
      <c r="AB85" s="834">
        <v>0</v>
      </c>
      <c r="AC85" s="834">
        <v>0</v>
      </c>
      <c r="AD85" s="834">
        <v>0</v>
      </c>
      <c r="AE85" s="834">
        <v>0</v>
      </c>
      <c r="AF85" s="834">
        <v>0</v>
      </c>
      <c r="AG85" s="834">
        <v>0</v>
      </c>
      <c r="AH85" s="834">
        <v>0</v>
      </c>
      <c r="AI85" s="834">
        <v>0</v>
      </c>
      <c r="AJ85" s="834">
        <v>0</v>
      </c>
      <c r="AK85" s="834">
        <v>0</v>
      </c>
      <c r="AL85" s="834">
        <v>0</v>
      </c>
      <c r="AM85" s="796"/>
    </row>
    <row r="86" spans="1:39">
      <c r="A86" s="809">
        <v>2</v>
      </c>
      <c r="B86" s="823" t="s">
        <v>1619</v>
      </c>
      <c r="C86" s="823"/>
      <c r="D86" s="823"/>
      <c r="E86" s="823"/>
      <c r="F86" s="823"/>
      <c r="G86" s="823"/>
      <c r="H86" s="823"/>
      <c r="I86" s="823"/>
      <c r="J86" s="823"/>
      <c r="K86" s="823"/>
      <c r="L86" s="833">
        <v>4.2</v>
      </c>
      <c r="M86" s="207" t="s">
        <v>359</v>
      </c>
      <c r="N86" s="749" t="s">
        <v>352</v>
      </c>
      <c r="O86" s="834">
        <v>0</v>
      </c>
      <c r="P86" s="834">
        <v>0</v>
      </c>
      <c r="Q86" s="834">
        <v>0</v>
      </c>
      <c r="R86" s="834">
        <v>0</v>
      </c>
      <c r="S86" s="834">
        <v>0</v>
      </c>
      <c r="T86" s="834">
        <v>0</v>
      </c>
      <c r="U86" s="834">
        <v>0</v>
      </c>
      <c r="V86" s="834">
        <v>0</v>
      </c>
      <c r="W86" s="834">
        <v>0</v>
      </c>
      <c r="X86" s="834">
        <v>0</v>
      </c>
      <c r="Y86" s="834">
        <v>0</v>
      </c>
      <c r="Z86" s="834">
        <v>0</v>
      </c>
      <c r="AA86" s="834">
        <v>0</v>
      </c>
      <c r="AB86" s="834">
        <v>0</v>
      </c>
      <c r="AC86" s="834">
        <v>0</v>
      </c>
      <c r="AD86" s="834">
        <v>0</v>
      </c>
      <c r="AE86" s="834">
        <v>0</v>
      </c>
      <c r="AF86" s="834">
        <v>0</v>
      </c>
      <c r="AG86" s="834">
        <v>0</v>
      </c>
      <c r="AH86" s="834">
        <v>0</v>
      </c>
      <c r="AI86" s="834">
        <v>0</v>
      </c>
      <c r="AJ86" s="834">
        <v>0</v>
      </c>
      <c r="AK86" s="834">
        <v>0</v>
      </c>
      <c r="AL86" s="834">
        <v>0</v>
      </c>
      <c r="AM86" s="796"/>
    </row>
    <row r="87" spans="1:39">
      <c r="A87" s="809">
        <v>2</v>
      </c>
      <c r="B87" s="823" t="s">
        <v>1635</v>
      </c>
      <c r="C87" s="823"/>
      <c r="D87" s="823"/>
      <c r="E87" s="823"/>
      <c r="F87" s="823"/>
      <c r="G87" s="823"/>
      <c r="H87" s="823"/>
      <c r="I87" s="823"/>
      <c r="J87" s="823"/>
      <c r="K87" s="823"/>
      <c r="L87" s="833">
        <v>4.3</v>
      </c>
      <c r="M87" s="207" t="s">
        <v>361</v>
      </c>
      <c r="N87" s="749" t="s">
        <v>352</v>
      </c>
      <c r="O87" s="834">
        <v>0</v>
      </c>
      <c r="P87" s="834">
        <v>0</v>
      </c>
      <c r="Q87" s="834">
        <v>0</v>
      </c>
      <c r="R87" s="834">
        <v>0</v>
      </c>
      <c r="S87" s="834">
        <v>0</v>
      </c>
      <c r="T87" s="834">
        <v>0</v>
      </c>
      <c r="U87" s="834">
        <v>0</v>
      </c>
      <c r="V87" s="834">
        <v>0</v>
      </c>
      <c r="W87" s="834">
        <v>0</v>
      </c>
      <c r="X87" s="834">
        <v>0</v>
      </c>
      <c r="Y87" s="834">
        <v>0</v>
      </c>
      <c r="Z87" s="834">
        <v>0</v>
      </c>
      <c r="AA87" s="834">
        <v>0</v>
      </c>
      <c r="AB87" s="834">
        <v>0</v>
      </c>
      <c r="AC87" s="834">
        <v>0</v>
      </c>
      <c r="AD87" s="834">
        <v>0</v>
      </c>
      <c r="AE87" s="834">
        <v>0</v>
      </c>
      <c r="AF87" s="834">
        <v>0</v>
      </c>
      <c r="AG87" s="834">
        <v>0</v>
      </c>
      <c r="AH87" s="834">
        <v>0</v>
      </c>
      <c r="AI87" s="834">
        <v>0</v>
      </c>
      <c r="AJ87" s="834">
        <v>0</v>
      </c>
      <c r="AK87" s="834">
        <v>0</v>
      </c>
      <c r="AL87" s="834">
        <v>0</v>
      </c>
      <c r="AM87" s="796"/>
    </row>
    <row r="88" spans="1:39">
      <c r="A88" s="809">
        <v>2</v>
      </c>
      <c r="B88" s="823" t="s">
        <v>1636</v>
      </c>
      <c r="C88" s="823"/>
      <c r="D88" s="823"/>
      <c r="E88" s="823"/>
      <c r="F88" s="823"/>
      <c r="G88" s="823"/>
      <c r="H88" s="823"/>
      <c r="I88" s="823"/>
      <c r="J88" s="823"/>
      <c r="K88" s="823"/>
      <c r="L88" s="833">
        <v>4.4000000000000004</v>
      </c>
      <c r="M88" s="207" t="s">
        <v>363</v>
      </c>
      <c r="N88" s="749" t="s">
        <v>352</v>
      </c>
      <c r="O88" s="834">
        <v>0</v>
      </c>
      <c r="P88" s="834">
        <v>0</v>
      </c>
      <c r="Q88" s="834">
        <v>0</v>
      </c>
      <c r="R88" s="834">
        <v>0</v>
      </c>
      <c r="S88" s="834">
        <v>0</v>
      </c>
      <c r="T88" s="834">
        <v>0</v>
      </c>
      <c r="U88" s="834">
        <v>0</v>
      </c>
      <c r="V88" s="834">
        <v>0</v>
      </c>
      <c r="W88" s="834">
        <v>0</v>
      </c>
      <c r="X88" s="834">
        <v>0</v>
      </c>
      <c r="Y88" s="834">
        <v>0</v>
      </c>
      <c r="Z88" s="834">
        <v>0</v>
      </c>
      <c r="AA88" s="834">
        <v>0</v>
      </c>
      <c r="AB88" s="834">
        <v>0</v>
      </c>
      <c r="AC88" s="834">
        <v>0</v>
      </c>
      <c r="AD88" s="834">
        <v>0</v>
      </c>
      <c r="AE88" s="834">
        <v>0</v>
      </c>
      <c r="AF88" s="834">
        <v>0</v>
      </c>
      <c r="AG88" s="834">
        <v>0</v>
      </c>
      <c r="AH88" s="834">
        <v>0</v>
      </c>
      <c r="AI88" s="834">
        <v>0</v>
      </c>
      <c r="AJ88" s="834">
        <v>0</v>
      </c>
      <c r="AK88" s="834">
        <v>0</v>
      </c>
      <c r="AL88" s="834">
        <v>0</v>
      </c>
      <c r="AM88" s="796"/>
    </row>
    <row r="89" spans="1:39">
      <c r="A89" s="809">
        <v>2</v>
      </c>
      <c r="B89" s="823" t="s">
        <v>1704</v>
      </c>
      <c r="C89" s="823"/>
      <c r="D89" s="823"/>
      <c r="E89" s="823"/>
      <c r="F89" s="823"/>
      <c r="G89" s="823"/>
      <c r="H89" s="823"/>
      <c r="I89" s="823"/>
      <c r="J89" s="823"/>
      <c r="K89" s="823"/>
      <c r="L89" s="833">
        <v>4.5</v>
      </c>
      <c r="M89" s="207" t="s">
        <v>365</v>
      </c>
      <c r="N89" s="749" t="s">
        <v>352</v>
      </c>
      <c r="O89" s="834">
        <v>0</v>
      </c>
      <c r="P89" s="834">
        <v>0</v>
      </c>
      <c r="Q89" s="834">
        <v>0</v>
      </c>
      <c r="R89" s="834">
        <v>0</v>
      </c>
      <c r="S89" s="834">
        <v>0</v>
      </c>
      <c r="T89" s="834">
        <v>0</v>
      </c>
      <c r="U89" s="834">
        <v>0</v>
      </c>
      <c r="V89" s="834">
        <v>0</v>
      </c>
      <c r="W89" s="834">
        <v>0</v>
      </c>
      <c r="X89" s="834">
        <v>0</v>
      </c>
      <c r="Y89" s="834">
        <v>0</v>
      </c>
      <c r="Z89" s="834">
        <v>0</v>
      </c>
      <c r="AA89" s="834">
        <v>0</v>
      </c>
      <c r="AB89" s="834">
        <v>0</v>
      </c>
      <c r="AC89" s="834">
        <v>0</v>
      </c>
      <c r="AD89" s="834">
        <v>0</v>
      </c>
      <c r="AE89" s="834">
        <v>0</v>
      </c>
      <c r="AF89" s="834">
        <v>0</v>
      </c>
      <c r="AG89" s="834">
        <v>0</v>
      </c>
      <c r="AH89" s="834">
        <v>0</v>
      </c>
      <c r="AI89" s="834">
        <v>0</v>
      </c>
      <c r="AJ89" s="834">
        <v>0</v>
      </c>
      <c r="AK89" s="834">
        <v>0</v>
      </c>
      <c r="AL89" s="834">
        <v>0</v>
      </c>
      <c r="AM89" s="796"/>
    </row>
    <row r="90" spans="1:39" s="93" customFormat="1">
      <c r="A90" s="809">
        <v>2</v>
      </c>
      <c r="B90" s="823" t="s">
        <v>1446</v>
      </c>
      <c r="C90" s="830"/>
      <c r="D90" s="830"/>
      <c r="E90" s="830"/>
      <c r="F90" s="830"/>
      <c r="G90" s="830"/>
      <c r="H90" s="830"/>
      <c r="I90" s="830"/>
      <c r="J90" s="830"/>
      <c r="K90" s="830"/>
      <c r="L90" s="831">
        <v>5</v>
      </c>
      <c r="M90" s="203" t="s">
        <v>377</v>
      </c>
      <c r="N90" s="749" t="s">
        <v>352</v>
      </c>
      <c r="O90" s="832">
        <v>0</v>
      </c>
      <c r="P90" s="832">
        <v>0</v>
      </c>
      <c r="Q90" s="832">
        <v>0</v>
      </c>
      <c r="R90" s="832">
        <v>0</v>
      </c>
      <c r="S90" s="832">
        <v>0</v>
      </c>
      <c r="T90" s="832">
        <v>0</v>
      </c>
      <c r="U90" s="832">
        <v>0</v>
      </c>
      <c r="V90" s="832">
        <v>0</v>
      </c>
      <c r="W90" s="832">
        <v>0</v>
      </c>
      <c r="X90" s="832">
        <v>0</v>
      </c>
      <c r="Y90" s="832">
        <v>0</v>
      </c>
      <c r="Z90" s="832">
        <v>0</v>
      </c>
      <c r="AA90" s="832">
        <v>0</v>
      </c>
      <c r="AB90" s="832">
        <v>0</v>
      </c>
      <c r="AC90" s="832">
        <v>0</v>
      </c>
      <c r="AD90" s="832">
        <v>0</v>
      </c>
      <c r="AE90" s="832">
        <v>0</v>
      </c>
      <c r="AF90" s="832">
        <v>0</v>
      </c>
      <c r="AG90" s="832">
        <v>0</v>
      </c>
      <c r="AH90" s="832">
        <v>0</v>
      </c>
      <c r="AI90" s="832">
        <v>0</v>
      </c>
      <c r="AJ90" s="832">
        <v>0</v>
      </c>
      <c r="AK90" s="832">
        <v>0</v>
      </c>
      <c r="AL90" s="832">
        <v>0</v>
      </c>
      <c r="AM90" s="796"/>
    </row>
    <row r="91" spans="1:39">
      <c r="A91" s="809">
        <v>2</v>
      </c>
      <c r="B91" s="823" t="s">
        <v>1599</v>
      </c>
      <c r="C91" s="823"/>
      <c r="D91" s="823"/>
      <c r="E91" s="823"/>
      <c r="F91" s="823"/>
      <c r="G91" s="823"/>
      <c r="H91" s="823"/>
      <c r="I91" s="823"/>
      <c r="J91" s="823"/>
      <c r="K91" s="823"/>
      <c r="L91" s="833">
        <v>5.0999999999999996</v>
      </c>
      <c r="M91" s="207" t="s">
        <v>358</v>
      </c>
      <c r="N91" s="749" t="s">
        <v>352</v>
      </c>
      <c r="O91" s="834">
        <v>0</v>
      </c>
      <c r="P91" s="834">
        <v>0</v>
      </c>
      <c r="Q91" s="834">
        <v>0</v>
      </c>
      <c r="R91" s="834">
        <v>0</v>
      </c>
      <c r="S91" s="834">
        <v>0</v>
      </c>
      <c r="T91" s="834">
        <v>0</v>
      </c>
      <c r="U91" s="834">
        <v>0</v>
      </c>
      <c r="V91" s="834">
        <v>0</v>
      </c>
      <c r="W91" s="834">
        <v>0</v>
      </c>
      <c r="X91" s="834">
        <v>0</v>
      </c>
      <c r="Y91" s="834">
        <v>0</v>
      </c>
      <c r="Z91" s="834">
        <v>0</v>
      </c>
      <c r="AA91" s="834">
        <v>0</v>
      </c>
      <c r="AB91" s="834">
        <v>0</v>
      </c>
      <c r="AC91" s="834">
        <v>0</v>
      </c>
      <c r="AD91" s="834">
        <v>0</v>
      </c>
      <c r="AE91" s="834">
        <v>0</v>
      </c>
      <c r="AF91" s="834">
        <v>0</v>
      </c>
      <c r="AG91" s="834">
        <v>0</v>
      </c>
      <c r="AH91" s="834">
        <v>0</v>
      </c>
      <c r="AI91" s="834">
        <v>0</v>
      </c>
      <c r="AJ91" s="834">
        <v>0</v>
      </c>
      <c r="AK91" s="834">
        <v>0</v>
      </c>
      <c r="AL91" s="834">
        <v>0</v>
      </c>
      <c r="AM91" s="796"/>
    </row>
    <row r="92" spans="1:39">
      <c r="A92" s="809">
        <v>2</v>
      </c>
      <c r="B92" s="823" t="s">
        <v>1600</v>
      </c>
      <c r="C92" s="823"/>
      <c r="D92" s="823"/>
      <c r="E92" s="823"/>
      <c r="F92" s="823"/>
      <c r="G92" s="823"/>
      <c r="H92" s="823"/>
      <c r="I92" s="823"/>
      <c r="J92" s="823"/>
      <c r="K92" s="823"/>
      <c r="L92" s="833">
        <v>5.2</v>
      </c>
      <c r="M92" s="207" t="s">
        <v>359</v>
      </c>
      <c r="N92" s="749" t="s">
        <v>352</v>
      </c>
      <c r="O92" s="834">
        <v>0</v>
      </c>
      <c r="P92" s="834">
        <v>0</v>
      </c>
      <c r="Q92" s="834">
        <v>0</v>
      </c>
      <c r="R92" s="834">
        <v>0</v>
      </c>
      <c r="S92" s="834">
        <v>0</v>
      </c>
      <c r="T92" s="834">
        <v>0</v>
      </c>
      <c r="U92" s="834">
        <v>0</v>
      </c>
      <c r="V92" s="834">
        <v>0</v>
      </c>
      <c r="W92" s="834">
        <v>0</v>
      </c>
      <c r="X92" s="834">
        <v>0</v>
      </c>
      <c r="Y92" s="834">
        <v>0</v>
      </c>
      <c r="Z92" s="834">
        <v>0</v>
      </c>
      <c r="AA92" s="834">
        <v>0</v>
      </c>
      <c r="AB92" s="834">
        <v>0</v>
      </c>
      <c r="AC92" s="834">
        <v>0</v>
      </c>
      <c r="AD92" s="834">
        <v>0</v>
      </c>
      <c r="AE92" s="834">
        <v>0</v>
      </c>
      <c r="AF92" s="834">
        <v>0</v>
      </c>
      <c r="AG92" s="834">
        <v>0</v>
      </c>
      <c r="AH92" s="834">
        <v>0</v>
      </c>
      <c r="AI92" s="834">
        <v>0</v>
      </c>
      <c r="AJ92" s="834">
        <v>0</v>
      </c>
      <c r="AK92" s="834">
        <v>0</v>
      </c>
      <c r="AL92" s="834">
        <v>0</v>
      </c>
      <c r="AM92" s="796"/>
    </row>
    <row r="93" spans="1:39">
      <c r="A93" s="809">
        <v>2</v>
      </c>
      <c r="B93" s="823" t="s">
        <v>1601</v>
      </c>
      <c r="C93" s="823"/>
      <c r="D93" s="823"/>
      <c r="E93" s="823"/>
      <c r="F93" s="823"/>
      <c r="G93" s="823"/>
      <c r="H93" s="823"/>
      <c r="I93" s="823"/>
      <c r="J93" s="823"/>
      <c r="K93" s="823"/>
      <c r="L93" s="833">
        <v>5.3</v>
      </c>
      <c r="M93" s="207" t="s">
        <v>361</v>
      </c>
      <c r="N93" s="749" t="s">
        <v>352</v>
      </c>
      <c r="O93" s="834">
        <v>0</v>
      </c>
      <c r="P93" s="834">
        <v>0</v>
      </c>
      <c r="Q93" s="834">
        <v>0</v>
      </c>
      <c r="R93" s="834">
        <v>0</v>
      </c>
      <c r="S93" s="834">
        <v>0</v>
      </c>
      <c r="T93" s="834">
        <v>0</v>
      </c>
      <c r="U93" s="834">
        <v>0</v>
      </c>
      <c r="V93" s="834">
        <v>0</v>
      </c>
      <c r="W93" s="834">
        <v>0</v>
      </c>
      <c r="X93" s="834">
        <v>0</v>
      </c>
      <c r="Y93" s="834">
        <v>0</v>
      </c>
      <c r="Z93" s="834">
        <v>0</v>
      </c>
      <c r="AA93" s="834">
        <v>0</v>
      </c>
      <c r="AB93" s="834">
        <v>0</v>
      </c>
      <c r="AC93" s="834">
        <v>0</v>
      </c>
      <c r="AD93" s="834">
        <v>0</v>
      </c>
      <c r="AE93" s="834">
        <v>0</v>
      </c>
      <c r="AF93" s="834">
        <v>0</v>
      </c>
      <c r="AG93" s="834">
        <v>0</v>
      </c>
      <c r="AH93" s="834">
        <v>0</v>
      </c>
      <c r="AI93" s="834">
        <v>0</v>
      </c>
      <c r="AJ93" s="834">
        <v>0</v>
      </c>
      <c r="AK93" s="834">
        <v>0</v>
      </c>
      <c r="AL93" s="834">
        <v>0</v>
      </c>
      <c r="AM93" s="796"/>
    </row>
    <row r="94" spans="1:39">
      <c r="A94" s="809">
        <v>2</v>
      </c>
      <c r="B94" s="823" t="s">
        <v>1602</v>
      </c>
      <c r="C94" s="823"/>
      <c r="D94" s="823"/>
      <c r="E94" s="823"/>
      <c r="F94" s="823"/>
      <c r="G94" s="823"/>
      <c r="H94" s="823"/>
      <c r="I94" s="823"/>
      <c r="J94" s="823"/>
      <c r="K94" s="823"/>
      <c r="L94" s="833">
        <v>5.4</v>
      </c>
      <c r="M94" s="207" t="s">
        <v>363</v>
      </c>
      <c r="N94" s="749" t="s">
        <v>352</v>
      </c>
      <c r="O94" s="834">
        <v>0</v>
      </c>
      <c r="P94" s="834">
        <v>0</v>
      </c>
      <c r="Q94" s="834">
        <v>0</v>
      </c>
      <c r="R94" s="834">
        <v>0</v>
      </c>
      <c r="S94" s="834">
        <v>0</v>
      </c>
      <c r="T94" s="834">
        <v>0</v>
      </c>
      <c r="U94" s="834">
        <v>0</v>
      </c>
      <c r="V94" s="834">
        <v>0</v>
      </c>
      <c r="W94" s="834">
        <v>0</v>
      </c>
      <c r="X94" s="834">
        <v>0</v>
      </c>
      <c r="Y94" s="834">
        <v>0</v>
      </c>
      <c r="Z94" s="834">
        <v>0</v>
      </c>
      <c r="AA94" s="834">
        <v>0</v>
      </c>
      <c r="AB94" s="834">
        <v>0</v>
      </c>
      <c r="AC94" s="834">
        <v>0</v>
      </c>
      <c r="AD94" s="834">
        <v>0</v>
      </c>
      <c r="AE94" s="834">
        <v>0</v>
      </c>
      <c r="AF94" s="834">
        <v>0</v>
      </c>
      <c r="AG94" s="834">
        <v>0</v>
      </c>
      <c r="AH94" s="834">
        <v>0</v>
      </c>
      <c r="AI94" s="834">
        <v>0</v>
      </c>
      <c r="AJ94" s="834">
        <v>0</v>
      </c>
      <c r="AK94" s="834">
        <v>0</v>
      </c>
      <c r="AL94" s="834">
        <v>0</v>
      </c>
      <c r="AM94" s="796"/>
    </row>
    <row r="95" spans="1:39">
      <c r="A95" s="809">
        <v>2</v>
      </c>
      <c r="B95" s="823" t="s">
        <v>1705</v>
      </c>
      <c r="C95" s="823"/>
      <c r="D95" s="823"/>
      <c r="E95" s="823"/>
      <c r="F95" s="823"/>
      <c r="G95" s="823"/>
      <c r="H95" s="823"/>
      <c r="I95" s="823"/>
      <c r="J95" s="823"/>
      <c r="K95" s="823"/>
      <c r="L95" s="833">
        <v>5.5</v>
      </c>
      <c r="M95" s="207" t="s">
        <v>365</v>
      </c>
      <c r="N95" s="749" t="s">
        <v>352</v>
      </c>
      <c r="O95" s="834">
        <v>0</v>
      </c>
      <c r="P95" s="834">
        <v>0</v>
      </c>
      <c r="Q95" s="834">
        <v>0</v>
      </c>
      <c r="R95" s="834">
        <v>0</v>
      </c>
      <c r="S95" s="834">
        <v>0</v>
      </c>
      <c r="T95" s="834">
        <v>0</v>
      </c>
      <c r="U95" s="834">
        <v>0</v>
      </c>
      <c r="V95" s="834">
        <v>0</v>
      </c>
      <c r="W95" s="834">
        <v>0</v>
      </c>
      <c r="X95" s="834">
        <v>0</v>
      </c>
      <c r="Y95" s="834">
        <v>0</v>
      </c>
      <c r="Z95" s="834">
        <v>0</v>
      </c>
      <c r="AA95" s="834">
        <v>0</v>
      </c>
      <c r="AB95" s="834">
        <v>0</v>
      </c>
      <c r="AC95" s="834">
        <v>0</v>
      </c>
      <c r="AD95" s="834">
        <v>0</v>
      </c>
      <c r="AE95" s="834">
        <v>0</v>
      </c>
      <c r="AF95" s="834">
        <v>0</v>
      </c>
      <c r="AG95" s="834">
        <v>0</v>
      </c>
      <c r="AH95" s="834">
        <v>0</v>
      </c>
      <c r="AI95" s="834">
        <v>0</v>
      </c>
      <c r="AJ95" s="834">
        <v>0</v>
      </c>
      <c r="AK95" s="834">
        <v>0</v>
      </c>
      <c r="AL95" s="834">
        <v>0</v>
      </c>
      <c r="AM95" s="796"/>
    </row>
    <row r="96" spans="1:39" s="93" customFormat="1" ht="22.8">
      <c r="A96" s="809">
        <v>2</v>
      </c>
      <c r="B96" s="823" t="s">
        <v>1448</v>
      </c>
      <c r="C96" s="830"/>
      <c r="D96" s="830"/>
      <c r="E96" s="830"/>
      <c r="F96" s="830"/>
      <c r="G96" s="830"/>
      <c r="H96" s="830"/>
      <c r="I96" s="830"/>
      <c r="J96" s="830"/>
      <c r="K96" s="830"/>
      <c r="L96" s="831">
        <v>6</v>
      </c>
      <c r="M96" s="203" t="s">
        <v>381</v>
      </c>
      <c r="N96" s="209"/>
      <c r="O96" s="210"/>
      <c r="P96" s="210"/>
      <c r="Q96" s="210"/>
      <c r="R96" s="210"/>
      <c r="S96" s="210"/>
      <c r="T96" s="210"/>
      <c r="U96" s="210"/>
      <c r="V96" s="210"/>
      <c r="W96" s="210"/>
      <c r="X96" s="210"/>
      <c r="Y96" s="210"/>
      <c r="Z96" s="210"/>
      <c r="AA96" s="210"/>
      <c r="AB96" s="210"/>
      <c r="AC96" s="210"/>
      <c r="AD96" s="210"/>
      <c r="AE96" s="210"/>
      <c r="AF96" s="210"/>
      <c r="AG96" s="210"/>
      <c r="AH96" s="210"/>
      <c r="AI96" s="210"/>
      <c r="AJ96" s="210"/>
      <c r="AK96" s="210"/>
      <c r="AL96" s="210"/>
      <c r="AM96" s="796"/>
    </row>
    <row r="97" spans="1:39">
      <c r="A97" s="809">
        <v>2</v>
      </c>
      <c r="B97" s="823" t="s">
        <v>1645</v>
      </c>
      <c r="C97" s="823"/>
      <c r="D97" s="823"/>
      <c r="E97" s="823"/>
      <c r="F97" s="823"/>
      <c r="G97" s="823"/>
      <c r="H97" s="823"/>
      <c r="I97" s="823"/>
      <c r="J97" s="823"/>
      <c r="K97" s="823"/>
      <c r="L97" s="833">
        <v>6.1</v>
      </c>
      <c r="M97" s="207" t="s">
        <v>358</v>
      </c>
      <c r="N97" s="204" t="s">
        <v>137</v>
      </c>
      <c r="O97" s="834">
        <v>0</v>
      </c>
      <c r="P97" s="834">
        <v>0</v>
      </c>
      <c r="Q97" s="834">
        <v>0</v>
      </c>
      <c r="R97" s="834">
        <v>0</v>
      </c>
      <c r="S97" s="834">
        <v>0</v>
      </c>
      <c r="T97" s="834">
        <v>0</v>
      </c>
      <c r="U97" s="834">
        <v>0</v>
      </c>
      <c r="V97" s="834">
        <v>0</v>
      </c>
      <c r="W97" s="834">
        <v>0</v>
      </c>
      <c r="X97" s="834">
        <v>0</v>
      </c>
      <c r="Y97" s="834">
        <v>0</v>
      </c>
      <c r="Z97" s="834">
        <v>0</v>
      </c>
      <c r="AA97" s="834">
        <v>0</v>
      </c>
      <c r="AB97" s="834">
        <v>0</v>
      </c>
      <c r="AC97" s="834">
        <v>0</v>
      </c>
      <c r="AD97" s="834">
        <v>0</v>
      </c>
      <c r="AE97" s="834">
        <v>0</v>
      </c>
      <c r="AF97" s="834">
        <v>0</v>
      </c>
      <c r="AG97" s="834">
        <v>0</v>
      </c>
      <c r="AH97" s="834">
        <v>0</v>
      </c>
      <c r="AI97" s="834">
        <v>0</v>
      </c>
      <c r="AJ97" s="834">
        <v>0</v>
      </c>
      <c r="AK97" s="834">
        <v>0</v>
      </c>
      <c r="AL97" s="834">
        <v>0</v>
      </c>
      <c r="AM97" s="796"/>
    </row>
    <row r="98" spans="1:39">
      <c r="A98" s="809">
        <v>2</v>
      </c>
      <c r="B98" s="823" t="s">
        <v>1646</v>
      </c>
      <c r="C98" s="823"/>
      <c r="D98" s="823"/>
      <c r="E98" s="823"/>
      <c r="F98" s="823"/>
      <c r="G98" s="823"/>
      <c r="H98" s="823"/>
      <c r="I98" s="823"/>
      <c r="J98" s="823"/>
      <c r="K98" s="823"/>
      <c r="L98" s="833">
        <v>6.2</v>
      </c>
      <c r="M98" s="207" t="s">
        <v>359</v>
      </c>
      <c r="N98" s="204" t="s">
        <v>137</v>
      </c>
      <c r="O98" s="834">
        <v>0</v>
      </c>
      <c r="P98" s="834">
        <v>0</v>
      </c>
      <c r="Q98" s="834">
        <v>0</v>
      </c>
      <c r="R98" s="834">
        <v>0</v>
      </c>
      <c r="S98" s="834">
        <v>0</v>
      </c>
      <c r="T98" s="834">
        <v>0</v>
      </c>
      <c r="U98" s="834">
        <v>0</v>
      </c>
      <c r="V98" s="834">
        <v>0</v>
      </c>
      <c r="W98" s="834">
        <v>0</v>
      </c>
      <c r="X98" s="834">
        <v>0</v>
      </c>
      <c r="Y98" s="834">
        <v>0</v>
      </c>
      <c r="Z98" s="834">
        <v>0</v>
      </c>
      <c r="AA98" s="834">
        <v>0</v>
      </c>
      <c r="AB98" s="834">
        <v>0</v>
      </c>
      <c r="AC98" s="834">
        <v>0</v>
      </c>
      <c r="AD98" s="834">
        <v>0</v>
      </c>
      <c r="AE98" s="834">
        <v>0</v>
      </c>
      <c r="AF98" s="834">
        <v>0</v>
      </c>
      <c r="AG98" s="834">
        <v>0</v>
      </c>
      <c r="AH98" s="834">
        <v>0</v>
      </c>
      <c r="AI98" s="834">
        <v>0</v>
      </c>
      <c r="AJ98" s="834">
        <v>0</v>
      </c>
      <c r="AK98" s="834">
        <v>0</v>
      </c>
      <c r="AL98" s="834">
        <v>0</v>
      </c>
      <c r="AM98" s="796"/>
    </row>
    <row r="99" spans="1:39">
      <c r="A99" s="809">
        <v>2</v>
      </c>
      <c r="B99" s="823" t="s">
        <v>1647</v>
      </c>
      <c r="C99" s="823"/>
      <c r="D99" s="823"/>
      <c r="E99" s="823"/>
      <c r="F99" s="823"/>
      <c r="G99" s="823"/>
      <c r="H99" s="823"/>
      <c r="I99" s="823"/>
      <c r="J99" s="823"/>
      <c r="K99" s="823"/>
      <c r="L99" s="833">
        <v>6.3</v>
      </c>
      <c r="M99" s="207" t="s">
        <v>361</v>
      </c>
      <c r="N99" s="204" t="s">
        <v>137</v>
      </c>
      <c r="O99" s="834">
        <v>0</v>
      </c>
      <c r="P99" s="834">
        <v>0</v>
      </c>
      <c r="Q99" s="834">
        <v>0</v>
      </c>
      <c r="R99" s="834">
        <v>0</v>
      </c>
      <c r="S99" s="834">
        <v>0</v>
      </c>
      <c r="T99" s="834">
        <v>0</v>
      </c>
      <c r="U99" s="834">
        <v>0</v>
      </c>
      <c r="V99" s="834">
        <v>0</v>
      </c>
      <c r="W99" s="834">
        <v>0</v>
      </c>
      <c r="X99" s="834">
        <v>0</v>
      </c>
      <c r="Y99" s="834">
        <v>0</v>
      </c>
      <c r="Z99" s="834">
        <v>0</v>
      </c>
      <c r="AA99" s="834">
        <v>0</v>
      </c>
      <c r="AB99" s="834">
        <v>0</v>
      </c>
      <c r="AC99" s="834">
        <v>0</v>
      </c>
      <c r="AD99" s="834">
        <v>0</v>
      </c>
      <c r="AE99" s="834">
        <v>0</v>
      </c>
      <c r="AF99" s="834">
        <v>0</v>
      </c>
      <c r="AG99" s="834">
        <v>0</v>
      </c>
      <c r="AH99" s="834">
        <v>0</v>
      </c>
      <c r="AI99" s="834">
        <v>0</v>
      </c>
      <c r="AJ99" s="834">
        <v>0</v>
      </c>
      <c r="AK99" s="834">
        <v>0</v>
      </c>
      <c r="AL99" s="834">
        <v>0</v>
      </c>
      <c r="AM99" s="796"/>
    </row>
    <row r="100" spans="1:39">
      <c r="A100" s="809">
        <v>2</v>
      </c>
      <c r="B100" s="823" t="s">
        <v>1648</v>
      </c>
      <c r="C100" s="823"/>
      <c r="D100" s="823"/>
      <c r="E100" s="823"/>
      <c r="F100" s="823"/>
      <c r="G100" s="823"/>
      <c r="H100" s="823"/>
      <c r="I100" s="823"/>
      <c r="J100" s="823"/>
      <c r="K100" s="823"/>
      <c r="L100" s="833">
        <v>6.4</v>
      </c>
      <c r="M100" s="207" t="s">
        <v>363</v>
      </c>
      <c r="N100" s="204" t="s">
        <v>137</v>
      </c>
      <c r="O100" s="834">
        <v>0</v>
      </c>
      <c r="P100" s="834">
        <v>0</v>
      </c>
      <c r="Q100" s="834">
        <v>0</v>
      </c>
      <c r="R100" s="834">
        <v>0</v>
      </c>
      <c r="S100" s="834">
        <v>0</v>
      </c>
      <c r="T100" s="834">
        <v>0</v>
      </c>
      <c r="U100" s="834">
        <v>0</v>
      </c>
      <c r="V100" s="834">
        <v>0</v>
      </c>
      <c r="W100" s="834">
        <v>0</v>
      </c>
      <c r="X100" s="834">
        <v>0</v>
      </c>
      <c r="Y100" s="834">
        <v>0</v>
      </c>
      <c r="Z100" s="834">
        <v>0</v>
      </c>
      <c r="AA100" s="834">
        <v>0</v>
      </c>
      <c r="AB100" s="834">
        <v>0</v>
      </c>
      <c r="AC100" s="834">
        <v>0</v>
      </c>
      <c r="AD100" s="834">
        <v>0</v>
      </c>
      <c r="AE100" s="834">
        <v>0</v>
      </c>
      <c r="AF100" s="834">
        <v>0</v>
      </c>
      <c r="AG100" s="834">
        <v>0</v>
      </c>
      <c r="AH100" s="834">
        <v>0</v>
      </c>
      <c r="AI100" s="834">
        <v>0</v>
      </c>
      <c r="AJ100" s="834">
        <v>0</v>
      </c>
      <c r="AK100" s="834">
        <v>0</v>
      </c>
      <c r="AL100" s="834">
        <v>0</v>
      </c>
      <c r="AM100" s="796"/>
    </row>
    <row r="101" spans="1:39">
      <c r="A101" s="809">
        <v>2</v>
      </c>
      <c r="B101" s="823" t="s">
        <v>1695</v>
      </c>
      <c r="C101" s="823"/>
      <c r="D101" s="823"/>
      <c r="E101" s="823"/>
      <c r="F101" s="823"/>
      <c r="G101" s="823"/>
      <c r="H101" s="823"/>
      <c r="I101" s="823"/>
      <c r="J101" s="823"/>
      <c r="K101" s="823"/>
      <c r="L101" s="833">
        <v>6.5</v>
      </c>
      <c r="M101" s="207" t="s">
        <v>365</v>
      </c>
      <c r="N101" s="204" t="s">
        <v>137</v>
      </c>
      <c r="O101" s="834">
        <v>0</v>
      </c>
      <c r="P101" s="834">
        <v>0</v>
      </c>
      <c r="Q101" s="834">
        <v>0</v>
      </c>
      <c r="R101" s="834">
        <v>0</v>
      </c>
      <c r="S101" s="834">
        <v>0</v>
      </c>
      <c r="T101" s="834">
        <v>0</v>
      </c>
      <c r="U101" s="834">
        <v>0</v>
      </c>
      <c r="V101" s="834">
        <v>0</v>
      </c>
      <c r="W101" s="834">
        <v>0</v>
      </c>
      <c r="X101" s="834">
        <v>0</v>
      </c>
      <c r="Y101" s="834">
        <v>0</v>
      </c>
      <c r="Z101" s="834">
        <v>0</v>
      </c>
      <c r="AA101" s="834">
        <v>0</v>
      </c>
      <c r="AB101" s="834">
        <v>0</v>
      </c>
      <c r="AC101" s="834">
        <v>0</v>
      </c>
      <c r="AD101" s="834">
        <v>0</v>
      </c>
      <c r="AE101" s="834">
        <v>0</v>
      </c>
      <c r="AF101" s="834">
        <v>0</v>
      </c>
      <c r="AG101" s="834">
        <v>0</v>
      </c>
      <c r="AH101" s="834">
        <v>0</v>
      </c>
      <c r="AI101" s="834">
        <v>0</v>
      </c>
      <c r="AJ101" s="834">
        <v>0</v>
      </c>
      <c r="AK101" s="834">
        <v>0</v>
      </c>
      <c r="AL101" s="834">
        <v>0</v>
      </c>
      <c r="AM101" s="796"/>
    </row>
    <row r="102" spans="1:39" s="93" customFormat="1">
      <c r="A102" s="809">
        <v>2</v>
      </c>
      <c r="B102" s="823" t="s">
        <v>1450</v>
      </c>
      <c r="C102" s="830"/>
      <c r="D102" s="830"/>
      <c r="E102" s="830"/>
      <c r="F102" s="830"/>
      <c r="G102" s="830"/>
      <c r="H102" s="830"/>
      <c r="I102" s="830"/>
      <c r="J102" s="830"/>
      <c r="K102" s="830"/>
      <c r="L102" s="831">
        <v>7</v>
      </c>
      <c r="M102" s="203" t="s">
        <v>385</v>
      </c>
      <c r="N102" s="749" t="s">
        <v>352</v>
      </c>
      <c r="O102" s="832">
        <v>0</v>
      </c>
      <c r="P102" s="832">
        <v>0</v>
      </c>
      <c r="Q102" s="832">
        <v>0</v>
      </c>
      <c r="R102" s="832">
        <v>0</v>
      </c>
      <c r="S102" s="832">
        <v>0</v>
      </c>
      <c r="T102" s="832">
        <v>0</v>
      </c>
      <c r="U102" s="832">
        <v>0</v>
      </c>
      <c r="V102" s="832">
        <v>0</v>
      </c>
      <c r="W102" s="832">
        <v>0</v>
      </c>
      <c r="X102" s="832">
        <v>0</v>
      </c>
      <c r="Y102" s="832">
        <v>0</v>
      </c>
      <c r="Z102" s="832">
        <v>0</v>
      </c>
      <c r="AA102" s="832">
        <v>0</v>
      </c>
      <c r="AB102" s="832">
        <v>0</v>
      </c>
      <c r="AC102" s="832">
        <v>0</v>
      </c>
      <c r="AD102" s="832">
        <v>0</v>
      </c>
      <c r="AE102" s="832">
        <v>0</v>
      </c>
      <c r="AF102" s="832">
        <v>0</v>
      </c>
      <c r="AG102" s="832">
        <v>0</v>
      </c>
      <c r="AH102" s="832">
        <v>0</v>
      </c>
      <c r="AI102" s="832">
        <v>0</v>
      </c>
      <c r="AJ102" s="832">
        <v>0</v>
      </c>
      <c r="AK102" s="832">
        <v>0</v>
      </c>
      <c r="AL102" s="832">
        <v>0</v>
      </c>
      <c r="AM102" s="796"/>
    </row>
    <row r="103" spans="1:39">
      <c r="A103" s="809">
        <v>2</v>
      </c>
      <c r="B103" s="823" t="s">
        <v>1686</v>
      </c>
      <c r="C103" s="823"/>
      <c r="D103" s="823"/>
      <c r="E103" s="823"/>
      <c r="F103" s="823"/>
      <c r="G103" s="823"/>
      <c r="H103" s="823"/>
      <c r="I103" s="823"/>
      <c r="J103" s="823"/>
      <c r="K103" s="823"/>
      <c r="L103" s="833">
        <v>7.1</v>
      </c>
      <c r="M103" s="207" t="s">
        <v>358</v>
      </c>
      <c r="N103" s="749" t="s">
        <v>352</v>
      </c>
      <c r="O103" s="834"/>
      <c r="P103" s="834"/>
      <c r="Q103" s="834"/>
      <c r="R103" s="834"/>
      <c r="S103" s="834"/>
      <c r="T103" s="834"/>
      <c r="U103" s="834"/>
      <c r="V103" s="834"/>
      <c r="W103" s="834"/>
      <c r="X103" s="834"/>
      <c r="Y103" s="834"/>
      <c r="Z103" s="834"/>
      <c r="AA103" s="834"/>
      <c r="AB103" s="834"/>
      <c r="AC103" s="834"/>
      <c r="AD103" s="834"/>
      <c r="AE103" s="834"/>
      <c r="AF103" s="834"/>
      <c r="AG103" s="834"/>
      <c r="AH103" s="834"/>
      <c r="AI103" s="834"/>
      <c r="AJ103" s="834"/>
      <c r="AK103" s="834"/>
      <c r="AL103" s="834"/>
      <c r="AM103" s="796"/>
    </row>
    <row r="104" spans="1:39">
      <c r="A104" s="809">
        <v>2</v>
      </c>
      <c r="B104" s="823" t="s">
        <v>1649</v>
      </c>
      <c r="C104" s="823"/>
      <c r="D104" s="823"/>
      <c r="E104" s="823"/>
      <c r="F104" s="823"/>
      <c r="G104" s="823"/>
      <c r="H104" s="823"/>
      <c r="I104" s="823"/>
      <c r="J104" s="823"/>
      <c r="K104" s="823"/>
      <c r="L104" s="833">
        <v>7.2</v>
      </c>
      <c r="M104" s="207" t="s">
        <v>359</v>
      </c>
      <c r="N104" s="749" t="s">
        <v>352</v>
      </c>
      <c r="O104" s="834"/>
      <c r="P104" s="834"/>
      <c r="Q104" s="834"/>
      <c r="R104" s="834"/>
      <c r="S104" s="834"/>
      <c r="T104" s="834"/>
      <c r="U104" s="834"/>
      <c r="V104" s="834"/>
      <c r="W104" s="834"/>
      <c r="X104" s="834"/>
      <c r="Y104" s="834"/>
      <c r="Z104" s="834"/>
      <c r="AA104" s="834"/>
      <c r="AB104" s="834"/>
      <c r="AC104" s="834"/>
      <c r="AD104" s="834"/>
      <c r="AE104" s="834"/>
      <c r="AF104" s="834"/>
      <c r="AG104" s="834"/>
      <c r="AH104" s="834"/>
      <c r="AI104" s="834"/>
      <c r="AJ104" s="834"/>
      <c r="AK104" s="834"/>
      <c r="AL104" s="834"/>
      <c r="AM104" s="796"/>
    </row>
    <row r="105" spans="1:39">
      <c r="A105" s="809">
        <v>2</v>
      </c>
      <c r="B105" s="823" t="s">
        <v>1650</v>
      </c>
      <c r="C105" s="823"/>
      <c r="D105" s="823"/>
      <c r="E105" s="823"/>
      <c r="F105" s="823"/>
      <c r="G105" s="823"/>
      <c r="H105" s="823"/>
      <c r="I105" s="823"/>
      <c r="J105" s="823"/>
      <c r="K105" s="823"/>
      <c r="L105" s="833">
        <v>7.3</v>
      </c>
      <c r="M105" s="207" t="s">
        <v>361</v>
      </c>
      <c r="N105" s="749" t="s">
        <v>352</v>
      </c>
      <c r="O105" s="834"/>
      <c r="P105" s="834"/>
      <c r="Q105" s="834"/>
      <c r="R105" s="834"/>
      <c r="S105" s="834"/>
      <c r="T105" s="834"/>
      <c r="U105" s="834"/>
      <c r="V105" s="834"/>
      <c r="W105" s="834"/>
      <c r="X105" s="834"/>
      <c r="Y105" s="834"/>
      <c r="Z105" s="834"/>
      <c r="AA105" s="834"/>
      <c r="AB105" s="834"/>
      <c r="AC105" s="834"/>
      <c r="AD105" s="834"/>
      <c r="AE105" s="834"/>
      <c r="AF105" s="834"/>
      <c r="AG105" s="834"/>
      <c r="AH105" s="834"/>
      <c r="AI105" s="834"/>
      <c r="AJ105" s="834"/>
      <c r="AK105" s="834"/>
      <c r="AL105" s="834"/>
      <c r="AM105" s="796"/>
    </row>
    <row r="106" spans="1:39">
      <c r="A106" s="809">
        <v>2</v>
      </c>
      <c r="B106" s="823" t="s">
        <v>1651</v>
      </c>
      <c r="C106" s="823"/>
      <c r="D106" s="823"/>
      <c r="E106" s="823"/>
      <c r="F106" s="823"/>
      <c r="G106" s="823"/>
      <c r="H106" s="823"/>
      <c r="I106" s="823"/>
      <c r="J106" s="823"/>
      <c r="K106" s="823"/>
      <c r="L106" s="833">
        <v>7.4</v>
      </c>
      <c r="M106" s="207" t="s">
        <v>363</v>
      </c>
      <c r="N106" s="749" t="s">
        <v>352</v>
      </c>
      <c r="O106" s="834"/>
      <c r="P106" s="834"/>
      <c r="Q106" s="834"/>
      <c r="R106" s="834"/>
      <c r="S106" s="834"/>
      <c r="T106" s="834"/>
      <c r="U106" s="834"/>
      <c r="V106" s="834"/>
      <c r="W106" s="834"/>
      <c r="X106" s="834"/>
      <c r="Y106" s="834"/>
      <c r="Z106" s="834"/>
      <c r="AA106" s="834"/>
      <c r="AB106" s="834"/>
      <c r="AC106" s="834"/>
      <c r="AD106" s="834"/>
      <c r="AE106" s="834"/>
      <c r="AF106" s="834"/>
      <c r="AG106" s="834"/>
      <c r="AH106" s="834"/>
      <c r="AI106" s="834"/>
      <c r="AJ106" s="834"/>
      <c r="AK106" s="834"/>
      <c r="AL106" s="834"/>
      <c r="AM106" s="796"/>
    </row>
    <row r="107" spans="1:39">
      <c r="A107" s="809">
        <v>2</v>
      </c>
      <c r="B107" s="823" t="s">
        <v>1652</v>
      </c>
      <c r="C107" s="823"/>
      <c r="D107" s="823"/>
      <c r="E107" s="823"/>
      <c r="F107" s="823"/>
      <c r="G107" s="823"/>
      <c r="H107" s="823"/>
      <c r="I107" s="823"/>
      <c r="J107" s="823"/>
      <c r="K107" s="823"/>
      <c r="L107" s="833">
        <v>7.5</v>
      </c>
      <c r="M107" s="207" t="s">
        <v>365</v>
      </c>
      <c r="N107" s="749" t="s">
        <v>352</v>
      </c>
      <c r="O107" s="834"/>
      <c r="P107" s="834"/>
      <c r="Q107" s="834"/>
      <c r="R107" s="834"/>
      <c r="S107" s="834"/>
      <c r="T107" s="834"/>
      <c r="U107" s="834"/>
      <c r="V107" s="834"/>
      <c r="W107" s="834"/>
      <c r="X107" s="834"/>
      <c r="Y107" s="834"/>
      <c r="Z107" s="834"/>
      <c r="AA107" s="834"/>
      <c r="AB107" s="834"/>
      <c r="AC107" s="834"/>
      <c r="AD107" s="834"/>
      <c r="AE107" s="834"/>
      <c r="AF107" s="834"/>
      <c r="AG107" s="834"/>
      <c r="AH107" s="834"/>
      <c r="AI107" s="834"/>
      <c r="AJ107" s="834"/>
      <c r="AK107" s="834"/>
      <c r="AL107" s="834"/>
      <c r="AM107" s="796"/>
    </row>
    <row r="108" spans="1:39" s="93" customFormat="1">
      <c r="A108" s="809">
        <v>2</v>
      </c>
      <c r="B108" s="823" t="s">
        <v>1452</v>
      </c>
      <c r="C108" s="830"/>
      <c r="D108" s="830"/>
      <c r="E108" s="830"/>
      <c r="F108" s="830"/>
      <c r="G108" s="830"/>
      <c r="H108" s="830"/>
      <c r="I108" s="830"/>
      <c r="J108" s="830"/>
      <c r="K108" s="830"/>
      <c r="L108" s="831">
        <v>8</v>
      </c>
      <c r="M108" s="203" t="s">
        <v>389</v>
      </c>
      <c r="N108" s="749" t="s">
        <v>352</v>
      </c>
      <c r="O108" s="832">
        <v>0</v>
      </c>
      <c r="P108" s="832">
        <v>0</v>
      </c>
      <c r="Q108" s="832">
        <v>0</v>
      </c>
      <c r="R108" s="832">
        <v>0</v>
      </c>
      <c r="S108" s="832">
        <v>0</v>
      </c>
      <c r="T108" s="832">
        <v>0</v>
      </c>
      <c r="U108" s="832">
        <v>0</v>
      </c>
      <c r="V108" s="832">
        <v>0</v>
      </c>
      <c r="W108" s="832">
        <v>0</v>
      </c>
      <c r="X108" s="832">
        <v>0</v>
      </c>
      <c r="Y108" s="832">
        <v>0</v>
      </c>
      <c r="Z108" s="832">
        <v>0</v>
      </c>
      <c r="AA108" s="832">
        <v>0</v>
      </c>
      <c r="AB108" s="832">
        <v>0</v>
      </c>
      <c r="AC108" s="832">
        <v>0</v>
      </c>
      <c r="AD108" s="832">
        <v>0</v>
      </c>
      <c r="AE108" s="832">
        <v>0</v>
      </c>
      <c r="AF108" s="832">
        <v>0</v>
      </c>
      <c r="AG108" s="832">
        <v>0</v>
      </c>
      <c r="AH108" s="832">
        <v>0</v>
      </c>
      <c r="AI108" s="832">
        <v>0</v>
      </c>
      <c r="AJ108" s="832">
        <v>0</v>
      </c>
      <c r="AK108" s="832">
        <v>0</v>
      </c>
      <c r="AL108" s="832">
        <v>0</v>
      </c>
      <c r="AM108" s="796"/>
    </row>
    <row r="109" spans="1:39">
      <c r="A109" s="809">
        <v>2</v>
      </c>
      <c r="B109" s="823" t="s">
        <v>1454</v>
      </c>
      <c r="C109" s="823"/>
      <c r="D109" s="823"/>
      <c r="E109" s="823"/>
      <c r="F109" s="823"/>
      <c r="G109" s="823"/>
      <c r="H109" s="823"/>
      <c r="I109" s="823"/>
      <c r="J109" s="823"/>
      <c r="K109" s="823"/>
      <c r="L109" s="833">
        <v>8.1</v>
      </c>
      <c r="M109" s="207" t="s">
        <v>358</v>
      </c>
      <c r="N109" s="749" t="s">
        <v>352</v>
      </c>
      <c r="O109" s="834"/>
      <c r="P109" s="834"/>
      <c r="Q109" s="834"/>
      <c r="R109" s="834"/>
      <c r="S109" s="834"/>
      <c r="T109" s="834"/>
      <c r="U109" s="834"/>
      <c r="V109" s="834"/>
      <c r="W109" s="834"/>
      <c r="X109" s="834"/>
      <c r="Y109" s="834"/>
      <c r="Z109" s="834"/>
      <c r="AA109" s="834"/>
      <c r="AB109" s="834"/>
      <c r="AC109" s="834"/>
      <c r="AD109" s="834"/>
      <c r="AE109" s="834"/>
      <c r="AF109" s="834"/>
      <c r="AG109" s="834"/>
      <c r="AH109" s="834"/>
      <c r="AI109" s="834"/>
      <c r="AJ109" s="834"/>
      <c r="AK109" s="834"/>
      <c r="AL109" s="834"/>
      <c r="AM109" s="796"/>
    </row>
    <row r="110" spans="1:39">
      <c r="A110" s="809">
        <v>2</v>
      </c>
      <c r="B110" s="823" t="s">
        <v>1455</v>
      </c>
      <c r="C110" s="823"/>
      <c r="D110" s="823"/>
      <c r="E110" s="823"/>
      <c r="F110" s="823"/>
      <c r="G110" s="823"/>
      <c r="H110" s="823"/>
      <c r="I110" s="823"/>
      <c r="J110" s="823"/>
      <c r="K110" s="823"/>
      <c r="L110" s="833">
        <v>8.1999999999999993</v>
      </c>
      <c r="M110" s="207" t="s">
        <v>359</v>
      </c>
      <c r="N110" s="749" t="s">
        <v>352</v>
      </c>
      <c r="O110" s="834"/>
      <c r="P110" s="834"/>
      <c r="Q110" s="834"/>
      <c r="R110" s="834"/>
      <c r="S110" s="834"/>
      <c r="T110" s="834"/>
      <c r="U110" s="834"/>
      <c r="V110" s="834"/>
      <c r="W110" s="834"/>
      <c r="X110" s="834"/>
      <c r="Y110" s="834"/>
      <c r="Z110" s="834"/>
      <c r="AA110" s="834"/>
      <c r="AB110" s="834"/>
      <c r="AC110" s="834"/>
      <c r="AD110" s="834"/>
      <c r="AE110" s="834"/>
      <c r="AF110" s="834"/>
      <c r="AG110" s="834"/>
      <c r="AH110" s="834"/>
      <c r="AI110" s="834"/>
      <c r="AJ110" s="834"/>
      <c r="AK110" s="834"/>
      <c r="AL110" s="834"/>
      <c r="AM110" s="796"/>
    </row>
    <row r="111" spans="1:39">
      <c r="A111" s="809">
        <v>2</v>
      </c>
      <c r="B111" s="823" t="s">
        <v>1667</v>
      </c>
      <c r="C111" s="823"/>
      <c r="D111" s="823"/>
      <c r="E111" s="823"/>
      <c r="F111" s="823"/>
      <c r="G111" s="823"/>
      <c r="H111" s="823"/>
      <c r="I111" s="823"/>
      <c r="J111" s="823"/>
      <c r="K111" s="823"/>
      <c r="L111" s="833">
        <v>8.3000000000000007</v>
      </c>
      <c r="M111" s="207" t="s">
        <v>361</v>
      </c>
      <c r="N111" s="749" t="s">
        <v>352</v>
      </c>
      <c r="O111" s="834"/>
      <c r="P111" s="834"/>
      <c r="Q111" s="834"/>
      <c r="R111" s="834"/>
      <c r="S111" s="834"/>
      <c r="T111" s="834"/>
      <c r="U111" s="834"/>
      <c r="V111" s="834"/>
      <c r="W111" s="834"/>
      <c r="X111" s="834"/>
      <c r="Y111" s="834"/>
      <c r="Z111" s="834"/>
      <c r="AA111" s="834"/>
      <c r="AB111" s="834"/>
      <c r="AC111" s="834"/>
      <c r="AD111" s="834"/>
      <c r="AE111" s="834"/>
      <c r="AF111" s="834"/>
      <c r="AG111" s="834"/>
      <c r="AH111" s="834"/>
      <c r="AI111" s="834"/>
      <c r="AJ111" s="834"/>
      <c r="AK111" s="834"/>
      <c r="AL111" s="834"/>
      <c r="AM111" s="796"/>
    </row>
    <row r="112" spans="1:39">
      <c r="A112" s="809">
        <v>2</v>
      </c>
      <c r="B112" s="823" t="s">
        <v>1706</v>
      </c>
      <c r="C112" s="823"/>
      <c r="D112" s="823"/>
      <c r="E112" s="823"/>
      <c r="F112" s="823"/>
      <c r="G112" s="823"/>
      <c r="H112" s="823"/>
      <c r="I112" s="823"/>
      <c r="J112" s="823"/>
      <c r="K112" s="823"/>
      <c r="L112" s="833">
        <v>8.4</v>
      </c>
      <c r="M112" s="207" t="s">
        <v>363</v>
      </c>
      <c r="N112" s="749" t="s">
        <v>352</v>
      </c>
      <c r="O112" s="834"/>
      <c r="P112" s="834"/>
      <c r="Q112" s="834"/>
      <c r="R112" s="834"/>
      <c r="S112" s="834"/>
      <c r="T112" s="834"/>
      <c r="U112" s="834"/>
      <c r="V112" s="834"/>
      <c r="W112" s="834"/>
      <c r="X112" s="834"/>
      <c r="Y112" s="834"/>
      <c r="Z112" s="834"/>
      <c r="AA112" s="834"/>
      <c r="AB112" s="834"/>
      <c r="AC112" s="834"/>
      <c r="AD112" s="834"/>
      <c r="AE112" s="834"/>
      <c r="AF112" s="834"/>
      <c r="AG112" s="834"/>
      <c r="AH112" s="834"/>
      <c r="AI112" s="834"/>
      <c r="AJ112" s="834"/>
      <c r="AK112" s="834"/>
      <c r="AL112" s="834"/>
      <c r="AM112" s="796"/>
    </row>
    <row r="113" spans="1:39">
      <c r="A113" s="809">
        <v>2</v>
      </c>
      <c r="B113" s="823" t="s">
        <v>1707</v>
      </c>
      <c r="C113" s="823"/>
      <c r="D113" s="823"/>
      <c r="E113" s="823"/>
      <c r="F113" s="823"/>
      <c r="G113" s="823"/>
      <c r="H113" s="823"/>
      <c r="I113" s="823"/>
      <c r="J113" s="823"/>
      <c r="K113" s="823"/>
      <c r="L113" s="833">
        <v>8.5</v>
      </c>
      <c r="M113" s="207" t="s">
        <v>365</v>
      </c>
      <c r="N113" s="749" t="s">
        <v>352</v>
      </c>
      <c r="O113" s="834"/>
      <c r="P113" s="834"/>
      <c r="Q113" s="834"/>
      <c r="R113" s="834"/>
      <c r="S113" s="834"/>
      <c r="T113" s="834"/>
      <c r="U113" s="834"/>
      <c r="V113" s="834"/>
      <c r="W113" s="834"/>
      <c r="X113" s="834"/>
      <c r="Y113" s="834"/>
      <c r="Z113" s="834"/>
      <c r="AA113" s="834"/>
      <c r="AB113" s="834"/>
      <c r="AC113" s="834"/>
      <c r="AD113" s="834"/>
      <c r="AE113" s="834"/>
      <c r="AF113" s="834"/>
      <c r="AG113" s="834"/>
      <c r="AH113" s="834"/>
      <c r="AI113" s="834"/>
      <c r="AJ113" s="834"/>
      <c r="AK113" s="834"/>
      <c r="AL113" s="834"/>
      <c r="AM113" s="796"/>
    </row>
    <row r="114" spans="1:39">
      <c r="A114" s="823"/>
      <c r="B114" s="823"/>
      <c r="C114" s="823"/>
      <c r="D114" s="823"/>
      <c r="E114" s="823"/>
      <c r="F114" s="823"/>
      <c r="G114" s="823"/>
      <c r="H114" s="823"/>
      <c r="I114" s="823"/>
      <c r="J114" s="823"/>
      <c r="K114" s="823"/>
      <c r="L114" s="835"/>
      <c r="M114" s="836"/>
      <c r="N114" s="835"/>
      <c r="O114" s="837"/>
      <c r="P114" s="837"/>
      <c r="Q114" s="837"/>
      <c r="R114" s="837"/>
      <c r="S114" s="837"/>
      <c r="T114" s="837"/>
      <c r="U114" s="837"/>
      <c r="V114" s="837"/>
      <c r="W114" s="837"/>
      <c r="X114" s="837"/>
      <c r="Y114" s="837"/>
      <c r="Z114" s="837"/>
      <c r="AA114" s="837"/>
      <c r="AB114" s="837"/>
      <c r="AC114" s="824"/>
      <c r="AD114" s="824"/>
      <c r="AE114" s="824"/>
      <c r="AF114" s="824"/>
      <c r="AG114" s="824"/>
      <c r="AH114" s="824"/>
      <c r="AI114" s="824"/>
      <c r="AJ114" s="824"/>
      <c r="AK114" s="824"/>
      <c r="AL114" s="824"/>
      <c r="AM114" s="823"/>
    </row>
    <row r="115" spans="1:39" s="86" customFormat="1" ht="15" customHeight="1">
      <c r="A115" s="781"/>
      <c r="B115" s="781"/>
      <c r="C115" s="781"/>
      <c r="D115" s="781"/>
      <c r="E115" s="781"/>
      <c r="F115" s="781"/>
      <c r="G115" s="781"/>
      <c r="H115" s="781"/>
      <c r="I115" s="781"/>
      <c r="J115" s="781"/>
      <c r="K115" s="781"/>
      <c r="L115" s="1122" t="s">
        <v>1367</v>
      </c>
      <c r="M115" s="1122"/>
      <c r="N115" s="1122"/>
      <c r="O115" s="1122"/>
      <c r="P115" s="1122"/>
      <c r="Q115" s="1122"/>
      <c r="R115" s="1122"/>
      <c r="S115" s="1123"/>
      <c r="T115" s="1123"/>
      <c r="U115" s="1123"/>
      <c r="V115" s="1123"/>
      <c r="W115" s="1123"/>
      <c r="X115" s="1123"/>
      <c r="Y115" s="1123"/>
      <c r="Z115" s="1123"/>
      <c r="AA115" s="1123"/>
      <c r="AB115" s="1123"/>
      <c r="AC115" s="1123"/>
      <c r="AD115" s="1123"/>
      <c r="AE115" s="1123"/>
      <c r="AF115" s="1123"/>
      <c r="AG115" s="1123"/>
      <c r="AH115" s="1123"/>
      <c r="AI115" s="1123"/>
      <c r="AJ115" s="1123"/>
      <c r="AK115" s="1123"/>
      <c r="AL115" s="1123"/>
      <c r="AM115" s="1123"/>
    </row>
    <row r="116" spans="1:39" s="86" customFormat="1" ht="86.4" customHeight="1">
      <c r="A116" s="781"/>
      <c r="B116" s="781"/>
      <c r="C116" s="781"/>
      <c r="D116" s="781"/>
      <c r="E116" s="781"/>
      <c r="F116" s="781"/>
      <c r="G116" s="781"/>
      <c r="H116" s="781"/>
      <c r="I116" s="781"/>
      <c r="J116" s="781"/>
      <c r="K116" s="662"/>
      <c r="L116" s="1128" t="s">
        <v>2985</v>
      </c>
      <c r="M116" s="1124"/>
      <c r="N116" s="1124"/>
      <c r="O116" s="1124"/>
      <c r="P116" s="1124"/>
      <c r="Q116" s="1124"/>
      <c r="R116" s="1124"/>
      <c r="S116" s="1125"/>
      <c r="T116" s="1125"/>
      <c r="U116" s="1125"/>
      <c r="V116" s="1125"/>
      <c r="W116" s="1125"/>
      <c r="X116" s="1125"/>
      <c r="Y116" s="1125"/>
      <c r="Z116" s="1125"/>
      <c r="AA116" s="1125"/>
      <c r="AB116" s="1125"/>
      <c r="AC116" s="1125"/>
      <c r="AD116" s="1125"/>
      <c r="AE116" s="1125"/>
      <c r="AF116" s="1125"/>
      <c r="AG116" s="1125"/>
      <c r="AH116" s="1125"/>
      <c r="AI116" s="1125"/>
      <c r="AJ116" s="1125"/>
      <c r="AK116" s="1125"/>
      <c r="AL116" s="1125"/>
      <c r="AM116" s="1125"/>
    </row>
    <row r="117" spans="1:39" s="86" customFormat="1" ht="34.200000000000003" customHeight="1">
      <c r="A117" s="781"/>
      <c r="B117" s="781"/>
      <c r="C117" s="781"/>
      <c r="D117" s="781"/>
      <c r="E117" s="781"/>
      <c r="F117" s="781"/>
      <c r="G117" s="781"/>
      <c r="H117" s="781"/>
      <c r="I117" s="781"/>
      <c r="J117" s="781"/>
      <c r="K117" s="662" t="s">
        <v>3055</v>
      </c>
      <c r="L117" s="1128" t="s">
        <v>2982</v>
      </c>
      <c r="M117" s="1124"/>
      <c r="N117" s="1124"/>
      <c r="O117" s="1124"/>
      <c r="P117" s="1124"/>
      <c r="Q117" s="1124"/>
      <c r="R117" s="1124"/>
      <c r="S117" s="1125"/>
      <c r="T117" s="1125"/>
      <c r="U117" s="1125"/>
      <c r="V117" s="1125"/>
      <c r="W117" s="1125"/>
      <c r="X117" s="1125"/>
      <c r="Y117" s="1125"/>
      <c r="Z117" s="1125"/>
      <c r="AA117" s="1125"/>
      <c r="AB117" s="1125"/>
      <c r="AC117" s="1125"/>
      <c r="AD117" s="1125"/>
      <c r="AE117" s="1125"/>
      <c r="AF117" s="1125"/>
      <c r="AG117" s="1125"/>
      <c r="AH117" s="1125"/>
      <c r="AI117" s="1125"/>
      <c r="AJ117" s="1125"/>
      <c r="AK117" s="1125"/>
      <c r="AL117" s="1125"/>
      <c r="AM117" s="1125"/>
    </row>
    <row r="118" spans="1:39">
      <c r="A118" s="823"/>
      <c r="B118" s="823"/>
      <c r="C118" s="823"/>
      <c r="D118" s="823"/>
      <c r="E118" s="823"/>
      <c r="F118" s="823"/>
      <c r="G118" s="823"/>
      <c r="H118" s="823"/>
      <c r="I118" s="823"/>
      <c r="J118" s="823"/>
      <c r="K118" s="823"/>
      <c r="L118" s="823"/>
      <c r="M118" s="838"/>
      <c r="N118" s="824"/>
      <c r="O118" s="824"/>
      <c r="P118" s="824"/>
      <c r="Q118" s="824"/>
      <c r="R118" s="824"/>
      <c r="S118" s="824"/>
      <c r="T118" s="824"/>
      <c r="U118" s="824"/>
      <c r="V118" s="824"/>
      <c r="W118" s="824"/>
      <c r="X118" s="824"/>
      <c r="Y118" s="824"/>
      <c r="Z118" s="824"/>
      <c r="AA118" s="824"/>
      <c r="AB118" s="824"/>
      <c r="AC118" s="824"/>
      <c r="AD118" s="824"/>
      <c r="AE118" s="824"/>
      <c r="AF118" s="824"/>
      <c r="AG118" s="824"/>
      <c r="AH118" s="824"/>
      <c r="AI118" s="824"/>
      <c r="AJ118" s="824"/>
      <c r="AK118" s="824"/>
      <c r="AL118" s="824"/>
      <c r="AM118" s="823"/>
    </row>
    <row r="119" spans="1:39">
      <c r="A119" s="823"/>
      <c r="B119" s="823"/>
      <c r="C119" s="823"/>
      <c r="D119" s="823"/>
      <c r="E119" s="823"/>
      <c r="F119" s="823"/>
      <c r="G119" s="823"/>
      <c r="H119" s="823"/>
      <c r="I119" s="823"/>
      <c r="J119" s="823"/>
      <c r="K119" s="823"/>
      <c r="L119" s="823"/>
      <c r="M119" s="838"/>
      <c r="N119" s="824"/>
      <c r="O119" s="824"/>
      <c r="P119" s="824"/>
      <c r="Q119" s="824"/>
      <c r="R119" s="824"/>
      <c r="S119" s="824"/>
      <c r="T119" s="824"/>
      <c r="U119" s="824"/>
      <c r="V119" s="824"/>
      <c r="W119" s="824"/>
      <c r="X119" s="824"/>
      <c r="Y119" s="824"/>
      <c r="Z119" s="824"/>
      <c r="AA119" s="824"/>
      <c r="AB119" s="824"/>
      <c r="AC119" s="824"/>
      <c r="AD119" s="824"/>
      <c r="AE119" s="824"/>
      <c r="AF119" s="824"/>
      <c r="AG119" s="824"/>
      <c r="AH119" s="824"/>
      <c r="AI119" s="824"/>
      <c r="AJ119" s="824"/>
      <c r="AK119" s="824"/>
      <c r="AL119" s="824"/>
      <c r="AM119" s="823"/>
    </row>
    <row r="120" spans="1:39">
      <c r="A120" s="823"/>
      <c r="B120" s="823"/>
      <c r="C120" s="823"/>
      <c r="D120" s="823"/>
      <c r="E120" s="823"/>
      <c r="F120" s="823"/>
      <c r="G120" s="823"/>
      <c r="H120" s="823"/>
      <c r="I120" s="823"/>
      <c r="J120" s="823"/>
      <c r="K120" s="823"/>
      <c r="L120" s="823"/>
      <c r="M120" s="838"/>
      <c r="N120" s="824"/>
      <c r="O120" s="824"/>
      <c r="P120" s="824"/>
      <c r="Q120" s="824"/>
      <c r="R120" s="824"/>
      <c r="S120" s="824"/>
      <c r="T120" s="824"/>
      <c r="U120" s="824"/>
      <c r="V120" s="824"/>
      <c r="W120" s="824"/>
      <c r="X120" s="824"/>
      <c r="Y120" s="824"/>
      <c r="Z120" s="824"/>
      <c r="AA120" s="824"/>
      <c r="AB120" s="824"/>
      <c r="AC120" s="824"/>
      <c r="AD120" s="824"/>
      <c r="AE120" s="824"/>
      <c r="AF120" s="824"/>
      <c r="AG120" s="824"/>
      <c r="AH120" s="824"/>
      <c r="AI120" s="824"/>
      <c r="AJ120" s="824"/>
      <c r="AK120" s="824"/>
      <c r="AL120" s="824"/>
      <c r="AM120" s="823"/>
    </row>
    <row r="121" spans="1:39">
      <c r="A121" s="823"/>
      <c r="B121" s="823"/>
      <c r="C121" s="823"/>
      <c r="D121" s="823"/>
      <c r="E121" s="823"/>
      <c r="F121" s="823"/>
      <c r="G121" s="823"/>
      <c r="H121" s="823"/>
      <c r="I121" s="823"/>
      <c r="J121" s="823"/>
      <c r="K121" s="823"/>
      <c r="L121" s="823"/>
      <c r="M121" s="839"/>
      <c r="N121" s="824"/>
      <c r="O121" s="824"/>
      <c r="P121" s="824"/>
      <c r="Q121" s="824"/>
      <c r="R121" s="824"/>
      <c r="S121" s="824"/>
      <c r="T121" s="824"/>
      <c r="U121" s="824"/>
      <c r="V121" s="824"/>
      <c r="W121" s="824"/>
      <c r="X121" s="824"/>
      <c r="Y121" s="824"/>
      <c r="Z121" s="824"/>
      <c r="AA121" s="824"/>
      <c r="AB121" s="824"/>
      <c r="AC121" s="824"/>
      <c r="AD121" s="824"/>
      <c r="AE121" s="824"/>
      <c r="AF121" s="824"/>
      <c r="AG121" s="824"/>
      <c r="AH121" s="824"/>
      <c r="AI121" s="824"/>
      <c r="AJ121" s="824"/>
      <c r="AK121" s="824"/>
      <c r="AL121" s="824"/>
      <c r="AM121" s="823"/>
    </row>
    <row r="122" spans="1:39">
      <c r="A122" s="823"/>
      <c r="B122" s="823"/>
      <c r="C122" s="823"/>
      <c r="D122" s="823"/>
      <c r="E122" s="823"/>
      <c r="F122" s="823"/>
      <c r="G122" s="823"/>
      <c r="H122" s="823"/>
      <c r="I122" s="823"/>
      <c r="J122" s="823"/>
      <c r="K122" s="823"/>
      <c r="L122" s="823"/>
      <c r="M122" s="838"/>
      <c r="N122" s="824"/>
      <c r="O122" s="824"/>
      <c r="P122" s="824"/>
      <c r="Q122" s="824"/>
      <c r="R122" s="824"/>
      <c r="S122" s="824"/>
      <c r="T122" s="824"/>
      <c r="U122" s="824"/>
      <c r="V122" s="824"/>
      <c r="W122" s="824"/>
      <c r="X122" s="824"/>
      <c r="Y122" s="824"/>
      <c r="Z122" s="824"/>
      <c r="AA122" s="824"/>
      <c r="AB122" s="824"/>
      <c r="AC122" s="824"/>
      <c r="AD122" s="824"/>
      <c r="AE122" s="824"/>
      <c r="AF122" s="824"/>
      <c r="AG122" s="824"/>
      <c r="AH122" s="824"/>
      <c r="AI122" s="824"/>
      <c r="AJ122" s="824"/>
      <c r="AK122" s="824"/>
      <c r="AL122" s="824"/>
      <c r="AM122" s="823"/>
    </row>
    <row r="123" spans="1:39">
      <c r="A123" s="823"/>
      <c r="B123" s="823"/>
      <c r="C123" s="823"/>
      <c r="D123" s="823"/>
      <c r="E123" s="823"/>
      <c r="F123" s="823"/>
      <c r="G123" s="823"/>
      <c r="H123" s="823"/>
      <c r="I123" s="823"/>
      <c r="J123" s="823"/>
      <c r="K123" s="823"/>
      <c r="L123" s="823"/>
      <c r="M123" s="823"/>
      <c r="N123" s="824"/>
      <c r="O123" s="824"/>
      <c r="P123" s="824"/>
      <c r="Q123" s="824"/>
      <c r="R123" s="824"/>
      <c r="S123" s="824"/>
      <c r="T123" s="824"/>
      <c r="U123" s="824"/>
      <c r="V123" s="824"/>
      <c r="W123" s="824"/>
      <c r="X123" s="824"/>
      <c r="Y123" s="824"/>
      <c r="Z123" s="824"/>
      <c r="AA123" s="824"/>
      <c r="AB123" s="824"/>
      <c r="AC123" s="824"/>
      <c r="AD123" s="824"/>
      <c r="AE123" s="824"/>
      <c r="AF123" s="824"/>
      <c r="AG123" s="824"/>
      <c r="AH123" s="824"/>
      <c r="AI123" s="824"/>
      <c r="AJ123" s="824"/>
      <c r="AK123" s="824"/>
      <c r="AL123" s="824"/>
      <c r="AM123" s="823"/>
    </row>
    <row r="124" spans="1:39">
      <c r="A124" s="823"/>
      <c r="B124" s="823"/>
      <c r="C124" s="823"/>
      <c r="D124" s="823"/>
      <c r="E124" s="823"/>
      <c r="F124" s="823"/>
      <c r="G124" s="823"/>
      <c r="H124" s="823"/>
      <c r="I124" s="823"/>
      <c r="J124" s="823"/>
      <c r="K124" s="823"/>
      <c r="L124" s="823"/>
      <c r="M124" s="838"/>
      <c r="N124" s="824"/>
      <c r="O124" s="824"/>
      <c r="P124" s="824"/>
      <c r="Q124" s="824"/>
      <c r="R124" s="824"/>
      <c r="S124" s="824"/>
      <c r="T124" s="824"/>
      <c r="U124" s="824"/>
      <c r="V124" s="824"/>
      <c r="W124" s="824"/>
      <c r="X124" s="824"/>
      <c r="Y124" s="824"/>
      <c r="Z124" s="824"/>
      <c r="AA124" s="824"/>
      <c r="AB124" s="824"/>
      <c r="AC124" s="824"/>
      <c r="AD124" s="824"/>
      <c r="AE124" s="824"/>
      <c r="AF124" s="824"/>
      <c r="AG124" s="824"/>
      <c r="AH124" s="824"/>
      <c r="AI124" s="824"/>
      <c r="AJ124" s="824"/>
      <c r="AK124" s="824"/>
      <c r="AL124" s="824"/>
      <c r="AM124" s="823"/>
    </row>
    <row r="125" spans="1:39">
      <c r="A125" s="823"/>
      <c r="B125" s="823"/>
      <c r="C125" s="823"/>
      <c r="D125" s="823"/>
      <c r="E125" s="823"/>
      <c r="F125" s="823"/>
      <c r="G125" s="823"/>
      <c r="H125" s="823"/>
      <c r="I125" s="823"/>
      <c r="J125" s="823"/>
      <c r="K125" s="823"/>
      <c r="L125" s="823"/>
      <c r="M125" s="838"/>
      <c r="N125" s="824"/>
      <c r="O125" s="824"/>
      <c r="P125" s="824"/>
      <c r="Q125" s="824"/>
      <c r="R125" s="824"/>
      <c r="S125" s="824"/>
      <c r="T125" s="824"/>
      <c r="U125" s="824"/>
      <c r="V125" s="824"/>
      <c r="W125" s="824"/>
      <c r="X125" s="824"/>
      <c r="Y125" s="824"/>
      <c r="Z125" s="824"/>
      <c r="AA125" s="824"/>
      <c r="AB125" s="824"/>
      <c r="AC125" s="824"/>
      <c r="AD125" s="824"/>
      <c r="AE125" s="824"/>
      <c r="AF125" s="824"/>
      <c r="AG125" s="824"/>
      <c r="AH125" s="824"/>
      <c r="AI125" s="824"/>
      <c r="AJ125" s="824"/>
      <c r="AK125" s="824"/>
      <c r="AL125" s="824"/>
      <c r="AM125" s="823"/>
    </row>
    <row r="126" spans="1:39">
      <c r="A126" s="823"/>
      <c r="B126" s="823"/>
      <c r="C126" s="823"/>
      <c r="D126" s="823"/>
      <c r="E126" s="823"/>
      <c r="F126" s="823"/>
      <c r="G126" s="823"/>
      <c r="H126" s="823"/>
      <c r="I126" s="823"/>
      <c r="J126" s="823"/>
      <c r="K126" s="823"/>
      <c r="L126" s="823"/>
      <c r="M126" s="823"/>
      <c r="N126" s="824"/>
      <c r="O126" s="824"/>
      <c r="P126" s="824"/>
      <c r="Q126" s="824"/>
      <c r="R126" s="824"/>
      <c r="S126" s="824"/>
      <c r="T126" s="824"/>
      <c r="U126" s="824"/>
      <c r="V126" s="824"/>
      <c r="W126" s="824"/>
      <c r="X126" s="824"/>
      <c r="Y126" s="824"/>
      <c r="Z126" s="824"/>
      <c r="AA126" s="824"/>
      <c r="AB126" s="824"/>
      <c r="AC126" s="824"/>
      <c r="AD126" s="824"/>
      <c r="AE126" s="824"/>
      <c r="AF126" s="824"/>
      <c r="AG126" s="824"/>
      <c r="AH126" s="824"/>
      <c r="AI126" s="824"/>
      <c r="AJ126" s="824"/>
      <c r="AK126" s="824"/>
      <c r="AL126" s="824"/>
      <c r="AM126" s="823"/>
    </row>
    <row r="127" spans="1:39">
      <c r="A127" s="823"/>
      <c r="B127" s="823"/>
      <c r="C127" s="823"/>
      <c r="D127" s="823"/>
      <c r="E127" s="823"/>
      <c r="F127" s="823"/>
      <c r="G127" s="823"/>
      <c r="H127" s="823"/>
      <c r="I127" s="823"/>
      <c r="J127" s="823"/>
      <c r="K127" s="823"/>
      <c r="L127" s="823"/>
      <c r="M127" s="823"/>
      <c r="N127" s="824"/>
      <c r="O127" s="824"/>
      <c r="P127" s="824"/>
      <c r="Q127" s="824"/>
      <c r="R127" s="824"/>
      <c r="S127" s="824"/>
      <c r="T127" s="824"/>
      <c r="U127" s="824"/>
      <c r="V127" s="824"/>
      <c r="W127" s="824"/>
      <c r="X127" s="824"/>
      <c r="Y127" s="824"/>
      <c r="Z127" s="824"/>
      <c r="AA127" s="824"/>
      <c r="AB127" s="824"/>
      <c r="AC127" s="824"/>
      <c r="AD127" s="824"/>
      <c r="AE127" s="824"/>
      <c r="AF127" s="824"/>
      <c r="AG127" s="824"/>
      <c r="AH127" s="824"/>
      <c r="AI127" s="824"/>
      <c r="AJ127" s="824"/>
      <c r="AK127" s="824"/>
      <c r="AL127" s="824"/>
      <c r="AM127" s="823"/>
    </row>
    <row r="128" spans="1:39">
      <c r="A128" s="823"/>
      <c r="B128" s="823"/>
      <c r="C128" s="823"/>
      <c r="D128" s="823"/>
      <c r="E128" s="823"/>
      <c r="F128" s="823"/>
      <c r="G128" s="823"/>
      <c r="H128" s="823"/>
      <c r="I128" s="823"/>
      <c r="J128" s="823"/>
      <c r="K128" s="823"/>
      <c r="L128" s="823"/>
      <c r="M128" s="823"/>
      <c r="N128" s="824"/>
      <c r="O128" s="824"/>
      <c r="P128" s="824"/>
      <c r="Q128" s="824"/>
      <c r="R128" s="824"/>
      <c r="S128" s="824"/>
      <c r="T128" s="824"/>
      <c r="U128" s="824"/>
      <c r="V128" s="824"/>
      <c r="W128" s="824"/>
      <c r="X128" s="824"/>
      <c r="Y128" s="824"/>
      <c r="Z128" s="824"/>
      <c r="AA128" s="824"/>
      <c r="AB128" s="824"/>
      <c r="AC128" s="824"/>
      <c r="AD128" s="824"/>
      <c r="AE128" s="824"/>
      <c r="AF128" s="824"/>
      <c r="AG128" s="824"/>
      <c r="AH128" s="824"/>
      <c r="AI128" s="824"/>
      <c r="AJ128" s="824"/>
      <c r="AK128" s="824"/>
      <c r="AL128" s="824"/>
      <c r="AM128" s="823"/>
    </row>
    <row r="129" spans="1:39">
      <c r="A129" s="823"/>
      <c r="B129" s="823"/>
      <c r="C129" s="823"/>
      <c r="D129" s="823"/>
      <c r="E129" s="823"/>
      <c r="F129" s="823"/>
      <c r="G129" s="823"/>
      <c r="H129" s="823"/>
      <c r="I129" s="823"/>
      <c r="J129" s="823"/>
      <c r="K129" s="823"/>
      <c r="L129" s="823"/>
      <c r="M129" s="823"/>
      <c r="N129" s="824"/>
      <c r="O129" s="824"/>
      <c r="P129" s="824"/>
      <c r="Q129" s="824"/>
      <c r="R129" s="824"/>
      <c r="S129" s="824"/>
      <c r="T129" s="824"/>
      <c r="U129" s="824"/>
      <c r="V129" s="824"/>
      <c r="W129" s="824"/>
      <c r="X129" s="824"/>
      <c r="Y129" s="824"/>
      <c r="Z129" s="824"/>
      <c r="AA129" s="824"/>
      <c r="AB129" s="824"/>
      <c r="AC129" s="824"/>
      <c r="AD129" s="824"/>
      <c r="AE129" s="824"/>
      <c r="AF129" s="824"/>
      <c r="AG129" s="824"/>
      <c r="AH129" s="824"/>
      <c r="AI129" s="824"/>
      <c r="AJ129" s="824"/>
      <c r="AK129" s="824"/>
      <c r="AL129" s="824"/>
      <c r="AM129" s="823"/>
    </row>
    <row r="130" spans="1:39">
      <c r="A130" s="823"/>
      <c r="B130" s="823"/>
      <c r="C130" s="823"/>
      <c r="D130" s="823"/>
      <c r="E130" s="823"/>
      <c r="F130" s="823"/>
      <c r="G130" s="823"/>
      <c r="H130" s="823"/>
      <c r="I130" s="823"/>
      <c r="J130" s="823"/>
      <c r="K130" s="823"/>
      <c r="L130" s="823"/>
      <c r="M130" s="838"/>
      <c r="N130" s="824"/>
      <c r="O130" s="824"/>
      <c r="P130" s="824"/>
      <c r="Q130" s="824"/>
      <c r="R130" s="824"/>
      <c r="S130" s="824"/>
      <c r="T130" s="824"/>
      <c r="U130" s="824"/>
      <c r="V130" s="824"/>
      <c r="W130" s="824"/>
      <c r="X130" s="824"/>
      <c r="Y130" s="824"/>
      <c r="Z130" s="824"/>
      <c r="AA130" s="824"/>
      <c r="AB130" s="824"/>
      <c r="AC130" s="824"/>
      <c r="AD130" s="824"/>
      <c r="AE130" s="824"/>
      <c r="AF130" s="824"/>
      <c r="AG130" s="824"/>
      <c r="AH130" s="824"/>
      <c r="AI130" s="824"/>
      <c r="AJ130" s="824"/>
      <c r="AK130" s="824"/>
      <c r="AL130" s="824"/>
      <c r="AM130" s="823"/>
    </row>
    <row r="131" spans="1:39">
      <c r="A131" s="823"/>
      <c r="B131" s="823"/>
      <c r="C131" s="823"/>
      <c r="D131" s="823"/>
      <c r="E131" s="823"/>
      <c r="F131" s="823"/>
      <c r="G131" s="823"/>
      <c r="H131" s="823"/>
      <c r="I131" s="823"/>
      <c r="J131" s="823"/>
      <c r="K131" s="823"/>
      <c r="L131" s="823"/>
      <c r="M131" s="838"/>
      <c r="N131" s="824"/>
      <c r="O131" s="824"/>
      <c r="P131" s="824"/>
      <c r="Q131" s="824"/>
      <c r="R131" s="824"/>
      <c r="S131" s="824"/>
      <c r="T131" s="824"/>
      <c r="U131" s="824"/>
      <c r="V131" s="824"/>
      <c r="W131" s="824"/>
      <c r="X131" s="824"/>
      <c r="Y131" s="824"/>
      <c r="Z131" s="824"/>
      <c r="AA131" s="824"/>
      <c r="AB131" s="824"/>
      <c r="AC131" s="824"/>
      <c r="AD131" s="824"/>
      <c r="AE131" s="824"/>
      <c r="AF131" s="824"/>
      <c r="AG131" s="824"/>
      <c r="AH131" s="824"/>
      <c r="AI131" s="824"/>
      <c r="AJ131" s="824"/>
      <c r="AK131" s="824"/>
      <c r="AL131" s="824"/>
      <c r="AM131" s="823"/>
    </row>
    <row r="132" spans="1:39">
      <c r="A132" s="823"/>
      <c r="B132" s="823"/>
      <c r="C132" s="823"/>
      <c r="D132" s="823"/>
      <c r="E132" s="823"/>
      <c r="F132" s="823"/>
      <c r="G132" s="823"/>
      <c r="H132" s="823"/>
      <c r="I132" s="823"/>
      <c r="J132" s="823"/>
      <c r="K132" s="823"/>
      <c r="L132" s="823"/>
      <c r="M132" s="839"/>
      <c r="N132" s="824"/>
      <c r="O132" s="824"/>
      <c r="P132" s="824"/>
      <c r="Q132" s="824"/>
      <c r="R132" s="824"/>
      <c r="S132" s="824"/>
      <c r="T132" s="824"/>
      <c r="U132" s="824"/>
      <c r="V132" s="824"/>
      <c r="W132" s="824"/>
      <c r="X132" s="824"/>
      <c r="Y132" s="824"/>
      <c r="Z132" s="824"/>
      <c r="AA132" s="824"/>
      <c r="AB132" s="824"/>
      <c r="AC132" s="824"/>
      <c r="AD132" s="824"/>
      <c r="AE132" s="824"/>
      <c r="AF132" s="824"/>
      <c r="AG132" s="824"/>
      <c r="AH132" s="824"/>
      <c r="AI132" s="824"/>
      <c r="AJ132" s="824"/>
      <c r="AK132" s="824"/>
      <c r="AL132" s="824"/>
      <c r="AM132" s="823"/>
    </row>
    <row r="133" spans="1:39">
      <c r="A133" s="823"/>
      <c r="B133" s="823"/>
      <c r="C133" s="823"/>
      <c r="D133" s="823"/>
      <c r="E133" s="823"/>
      <c r="F133" s="823"/>
      <c r="G133" s="823"/>
      <c r="H133" s="823"/>
      <c r="I133" s="823"/>
      <c r="J133" s="823"/>
      <c r="K133" s="823"/>
      <c r="L133" s="823"/>
      <c r="M133" s="838"/>
      <c r="N133" s="824"/>
      <c r="O133" s="824"/>
      <c r="P133" s="824"/>
      <c r="Q133" s="824"/>
      <c r="R133" s="824"/>
      <c r="S133" s="824"/>
      <c r="T133" s="824"/>
      <c r="U133" s="824"/>
      <c r="V133" s="824"/>
      <c r="W133" s="824"/>
      <c r="X133" s="824"/>
      <c r="Y133" s="824"/>
      <c r="Z133" s="824"/>
      <c r="AA133" s="824"/>
      <c r="AB133" s="824"/>
      <c r="AC133" s="824"/>
      <c r="AD133" s="824"/>
      <c r="AE133" s="824"/>
      <c r="AF133" s="824"/>
      <c r="AG133" s="824"/>
      <c r="AH133" s="824"/>
      <c r="AI133" s="824"/>
      <c r="AJ133" s="824"/>
      <c r="AK133" s="824"/>
      <c r="AL133" s="824"/>
      <c r="AM133" s="823"/>
    </row>
    <row r="134" spans="1:39">
      <c r="A134" s="823"/>
      <c r="B134" s="823"/>
      <c r="C134" s="823"/>
      <c r="D134" s="823"/>
      <c r="E134" s="823"/>
      <c r="F134" s="823"/>
      <c r="G134" s="823"/>
      <c r="H134" s="823"/>
      <c r="I134" s="823"/>
      <c r="J134" s="823"/>
      <c r="K134" s="823"/>
      <c r="L134" s="823"/>
      <c r="M134" s="838"/>
      <c r="N134" s="824"/>
      <c r="O134" s="824"/>
      <c r="P134" s="824"/>
      <c r="Q134" s="824"/>
      <c r="R134" s="824"/>
      <c r="S134" s="824"/>
      <c r="T134" s="824"/>
      <c r="U134" s="824"/>
      <c r="V134" s="824"/>
      <c r="W134" s="824"/>
      <c r="X134" s="824"/>
      <c r="Y134" s="824"/>
      <c r="Z134" s="824"/>
      <c r="AA134" s="824"/>
      <c r="AB134" s="824"/>
      <c r="AC134" s="824"/>
      <c r="AD134" s="824"/>
      <c r="AE134" s="824"/>
      <c r="AF134" s="824"/>
      <c r="AG134" s="824"/>
      <c r="AH134" s="824"/>
      <c r="AI134" s="824"/>
      <c r="AJ134" s="824"/>
      <c r="AK134" s="824"/>
      <c r="AL134" s="824"/>
      <c r="AM134" s="823"/>
    </row>
    <row r="135" spans="1:39">
      <c r="A135" s="823"/>
      <c r="B135" s="823"/>
      <c r="C135" s="823"/>
      <c r="D135" s="823"/>
      <c r="E135" s="823"/>
      <c r="F135" s="823"/>
      <c r="G135" s="823"/>
      <c r="H135" s="823"/>
      <c r="I135" s="823"/>
      <c r="J135" s="823"/>
      <c r="K135" s="823"/>
      <c r="L135" s="823"/>
      <c r="M135" s="838"/>
      <c r="N135" s="824"/>
      <c r="O135" s="824"/>
      <c r="P135" s="824"/>
      <c r="Q135" s="824"/>
      <c r="R135" s="824"/>
      <c r="S135" s="824"/>
      <c r="T135" s="824"/>
      <c r="U135" s="824"/>
      <c r="V135" s="824"/>
      <c r="W135" s="824"/>
      <c r="X135" s="824"/>
      <c r="Y135" s="824"/>
      <c r="Z135" s="824"/>
      <c r="AA135" s="824"/>
      <c r="AB135" s="824"/>
      <c r="AC135" s="824"/>
      <c r="AD135" s="824"/>
      <c r="AE135" s="824"/>
      <c r="AF135" s="824"/>
      <c r="AG135" s="824"/>
      <c r="AH135" s="824"/>
      <c r="AI135" s="824"/>
      <c r="AJ135" s="824"/>
      <c r="AK135" s="824"/>
      <c r="AL135" s="824"/>
      <c r="AM135" s="823"/>
    </row>
    <row r="136" spans="1:39">
      <c r="A136" s="823"/>
      <c r="B136" s="823"/>
      <c r="C136" s="823"/>
      <c r="D136" s="823"/>
      <c r="E136" s="823"/>
      <c r="F136" s="823"/>
      <c r="G136" s="823"/>
      <c r="H136" s="823"/>
      <c r="I136" s="823"/>
      <c r="J136" s="823"/>
      <c r="K136" s="823"/>
      <c r="L136" s="823"/>
      <c r="M136" s="838"/>
      <c r="N136" s="824"/>
      <c r="O136" s="824"/>
      <c r="P136" s="824"/>
      <c r="Q136" s="824"/>
      <c r="R136" s="824"/>
      <c r="S136" s="824"/>
      <c r="T136" s="824"/>
      <c r="U136" s="824"/>
      <c r="V136" s="824"/>
      <c r="W136" s="824"/>
      <c r="X136" s="824"/>
      <c r="Y136" s="824"/>
      <c r="Z136" s="824"/>
      <c r="AA136" s="824"/>
      <c r="AB136" s="824"/>
      <c r="AC136" s="824"/>
      <c r="AD136" s="824"/>
      <c r="AE136" s="824"/>
      <c r="AF136" s="824"/>
      <c r="AG136" s="824"/>
      <c r="AH136" s="824"/>
      <c r="AI136" s="824"/>
      <c r="AJ136" s="824"/>
      <c r="AK136" s="824"/>
      <c r="AL136" s="824"/>
      <c r="AM136" s="823"/>
    </row>
    <row r="137" spans="1:39">
      <c r="A137" s="823"/>
      <c r="B137" s="823"/>
      <c r="C137" s="823"/>
      <c r="D137" s="823"/>
      <c r="E137" s="823"/>
      <c r="F137" s="823"/>
      <c r="G137" s="823"/>
      <c r="H137" s="823"/>
      <c r="I137" s="823"/>
      <c r="J137" s="823"/>
      <c r="K137" s="823"/>
      <c r="L137" s="823"/>
      <c r="M137" s="838"/>
      <c r="N137" s="824"/>
      <c r="O137" s="824"/>
      <c r="P137" s="824"/>
      <c r="Q137" s="824"/>
      <c r="R137" s="824"/>
      <c r="S137" s="824"/>
      <c r="T137" s="824"/>
      <c r="U137" s="824"/>
      <c r="V137" s="824"/>
      <c r="W137" s="824"/>
      <c r="X137" s="824"/>
      <c r="Y137" s="824"/>
      <c r="Z137" s="824"/>
      <c r="AA137" s="824"/>
      <c r="AB137" s="824"/>
      <c r="AC137" s="824"/>
      <c r="AD137" s="824"/>
      <c r="AE137" s="824"/>
      <c r="AF137" s="824"/>
      <c r="AG137" s="824"/>
      <c r="AH137" s="824"/>
      <c r="AI137" s="824"/>
      <c r="AJ137" s="824"/>
      <c r="AK137" s="824"/>
      <c r="AL137" s="824"/>
      <c r="AM137" s="823"/>
    </row>
  </sheetData>
  <sheetProtection formatColumns="0" formatRows="0" autoFilter="0"/>
  <mergeCells count="8">
    <mergeCell ref="L117:AM117"/>
    <mergeCell ref="L116:AM116"/>
    <mergeCell ref="L13:AL13"/>
    <mergeCell ref="L14:L15"/>
    <mergeCell ref="M14:M15"/>
    <mergeCell ref="N14:N15"/>
    <mergeCell ref="AM14:AM15"/>
    <mergeCell ref="L115:AM115"/>
  </mergeCells>
  <dataValidations count="2">
    <dataValidation type="textLength" operator="lessThanOrEqual" allowBlank="1" showInputMessage="1" showErrorMessage="1" errorTitle="Ошибка" error="Допускается ввод не более 900 символов!" sqref="AM17:AM64 AM66:AM113">
      <formula1>900</formula1>
    </dataValidation>
    <dataValidation type="decimal" allowBlank="1" showErrorMessage="1" errorTitle="Ошибка" error="Допускается ввод только неотрицательных чисел!" sqref="O48:AL52 O54:AL58 O42:AL46 O36:AL40 O30:AL34 O24:AL28 O18:AL22 O60:AL64 O109:AL113 O103:AL107 O91:AL95 O85:AL89 O79:AL83 O73:AL77 O67:AL71 O97:AL101">
      <formula1>0</formula1>
      <formula2>9.99999999999999E+23</formula2>
    </dataValidation>
  </dataValidations>
  <pageMargins left="0.35433070866141736" right="0.35433070866141736" top="0.39370078740157483" bottom="0.47244094488188981" header="0.31496062992125984" footer="0.31496062992125984"/>
  <pageSetup paperSize="9" scale="75" fitToWidth="0" fitToHeight="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AM35"/>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AC39" sqref="AC39"/>
    </sheetView>
  </sheetViews>
  <sheetFormatPr defaultColWidth="9.125" defaultRowHeight="11.4"/>
  <cols>
    <col min="1" max="10" width="2.625" style="94" hidden="1" customWidth="1"/>
    <col min="11" max="11" width="3.75" style="94" hidden="1" customWidth="1"/>
    <col min="12" max="12" width="5.875" style="94" customWidth="1"/>
    <col min="13" max="13" width="35.75" style="94" customWidth="1"/>
    <col min="14" max="14" width="12.75" style="94" customWidth="1"/>
    <col min="15" max="15" width="13.75" style="95" customWidth="1"/>
    <col min="16" max="17" width="13.75" style="94" customWidth="1"/>
    <col min="18" max="18" width="16.625" style="94" customWidth="1"/>
    <col min="19" max="19" width="12.75" style="94" customWidth="1"/>
    <col min="20" max="28" width="12.75" style="94" hidden="1" customWidth="1"/>
    <col min="29" max="29" width="14.625" style="94" customWidth="1"/>
    <col min="30" max="38" width="14.625" style="94" hidden="1" customWidth="1"/>
    <col min="39" max="39" width="20.75" style="94" customWidth="1"/>
    <col min="40" max="16384" width="9.125" style="94"/>
  </cols>
  <sheetData>
    <row r="1" spans="1:39" hidden="1">
      <c r="A1" s="840"/>
      <c r="B1" s="840"/>
      <c r="C1" s="840"/>
      <c r="D1" s="840"/>
      <c r="E1" s="840"/>
      <c r="F1" s="840"/>
      <c r="G1" s="840"/>
      <c r="H1" s="840"/>
      <c r="I1" s="840"/>
      <c r="J1" s="840"/>
      <c r="K1" s="840"/>
      <c r="L1" s="840"/>
      <c r="M1" s="840"/>
      <c r="N1" s="840"/>
      <c r="O1" s="841">
        <v>2022</v>
      </c>
      <c r="P1" s="842">
        <v>2022</v>
      </c>
      <c r="Q1" s="842">
        <v>2022</v>
      </c>
      <c r="R1" s="842">
        <v>2023</v>
      </c>
      <c r="S1" s="781">
        <v>2024</v>
      </c>
      <c r="T1" s="781">
        <v>2025</v>
      </c>
      <c r="U1" s="781">
        <v>2026</v>
      </c>
      <c r="V1" s="781">
        <v>2027</v>
      </c>
      <c r="W1" s="781">
        <v>2028</v>
      </c>
      <c r="X1" s="781">
        <v>2029</v>
      </c>
      <c r="Y1" s="781">
        <v>2030</v>
      </c>
      <c r="Z1" s="781">
        <v>2031</v>
      </c>
      <c r="AA1" s="781">
        <v>2032</v>
      </c>
      <c r="AB1" s="781">
        <v>2033</v>
      </c>
      <c r="AC1" s="781">
        <v>2024</v>
      </c>
      <c r="AD1" s="781">
        <v>2025</v>
      </c>
      <c r="AE1" s="781">
        <v>2026</v>
      </c>
      <c r="AF1" s="781">
        <v>2027</v>
      </c>
      <c r="AG1" s="781">
        <v>2028</v>
      </c>
      <c r="AH1" s="781">
        <v>2029</v>
      </c>
      <c r="AI1" s="781">
        <v>2030</v>
      </c>
      <c r="AJ1" s="781">
        <v>2031</v>
      </c>
      <c r="AK1" s="781">
        <v>2032</v>
      </c>
      <c r="AL1" s="781">
        <v>2033</v>
      </c>
      <c r="AM1" s="840"/>
    </row>
    <row r="2" spans="1:39" hidden="1">
      <c r="A2" s="840"/>
      <c r="B2" s="840"/>
      <c r="C2" s="840"/>
      <c r="D2" s="840"/>
      <c r="E2" s="840"/>
      <c r="F2" s="840"/>
      <c r="G2" s="840"/>
      <c r="H2" s="840"/>
      <c r="I2" s="840"/>
      <c r="J2" s="840"/>
      <c r="K2" s="840"/>
      <c r="L2" s="840"/>
      <c r="M2" s="840"/>
      <c r="N2" s="840"/>
      <c r="O2" s="841" t="s">
        <v>268</v>
      </c>
      <c r="P2" s="841" t="s">
        <v>306</v>
      </c>
      <c r="Q2" s="841" t="s">
        <v>286</v>
      </c>
      <c r="R2" s="841" t="s">
        <v>268</v>
      </c>
      <c r="S2" s="841" t="s">
        <v>269</v>
      </c>
      <c r="T2" s="841" t="s">
        <v>269</v>
      </c>
      <c r="U2" s="841" t="s">
        <v>269</v>
      </c>
      <c r="V2" s="841" t="s">
        <v>269</v>
      </c>
      <c r="W2" s="841" t="s">
        <v>269</v>
      </c>
      <c r="X2" s="841" t="s">
        <v>269</v>
      </c>
      <c r="Y2" s="841" t="s">
        <v>269</v>
      </c>
      <c r="Z2" s="841" t="s">
        <v>269</v>
      </c>
      <c r="AA2" s="841" t="s">
        <v>269</v>
      </c>
      <c r="AB2" s="841" t="s">
        <v>269</v>
      </c>
      <c r="AC2" s="841" t="s">
        <v>268</v>
      </c>
      <c r="AD2" s="841" t="s">
        <v>268</v>
      </c>
      <c r="AE2" s="841" t="s">
        <v>268</v>
      </c>
      <c r="AF2" s="841" t="s">
        <v>268</v>
      </c>
      <c r="AG2" s="841" t="s">
        <v>268</v>
      </c>
      <c r="AH2" s="841" t="s">
        <v>268</v>
      </c>
      <c r="AI2" s="841" t="s">
        <v>268</v>
      </c>
      <c r="AJ2" s="841" t="s">
        <v>268</v>
      </c>
      <c r="AK2" s="841" t="s">
        <v>268</v>
      </c>
      <c r="AL2" s="841" t="s">
        <v>268</v>
      </c>
      <c r="AM2" s="840"/>
    </row>
    <row r="3" spans="1:39" hidden="1">
      <c r="A3" s="840"/>
      <c r="B3" s="840"/>
      <c r="C3" s="840"/>
      <c r="D3" s="840"/>
      <c r="E3" s="840"/>
      <c r="F3" s="840"/>
      <c r="G3" s="840"/>
      <c r="H3" s="840"/>
      <c r="I3" s="840"/>
      <c r="J3" s="840"/>
      <c r="K3" s="840"/>
      <c r="L3" s="840"/>
      <c r="M3" s="840"/>
      <c r="N3" s="840"/>
      <c r="O3" s="842"/>
      <c r="P3" s="840"/>
      <c r="Q3" s="840"/>
      <c r="R3" s="840"/>
      <c r="S3" s="781"/>
      <c r="T3" s="781"/>
      <c r="U3" s="781"/>
      <c r="V3" s="781"/>
      <c r="W3" s="781"/>
      <c r="X3" s="781"/>
      <c r="Y3" s="781"/>
      <c r="Z3" s="781"/>
      <c r="AA3" s="781"/>
      <c r="AB3" s="781"/>
      <c r="AC3" s="781"/>
      <c r="AD3" s="781"/>
      <c r="AE3" s="781"/>
      <c r="AF3" s="781"/>
      <c r="AG3" s="781"/>
      <c r="AH3" s="781"/>
      <c r="AI3" s="781"/>
      <c r="AJ3" s="781"/>
      <c r="AK3" s="781"/>
      <c r="AL3" s="781"/>
      <c r="AM3" s="840"/>
    </row>
    <row r="4" spans="1:39" hidden="1">
      <c r="A4" s="840"/>
      <c r="B4" s="840"/>
      <c r="C4" s="840"/>
      <c r="D4" s="840"/>
      <c r="E4" s="840"/>
      <c r="F4" s="840"/>
      <c r="G4" s="840"/>
      <c r="H4" s="840"/>
      <c r="I4" s="840"/>
      <c r="J4" s="840"/>
      <c r="K4" s="840"/>
      <c r="L4" s="840"/>
      <c r="M4" s="840"/>
      <c r="N4" s="840"/>
      <c r="O4" s="842"/>
      <c r="P4" s="840"/>
      <c r="Q4" s="840"/>
      <c r="R4" s="840"/>
      <c r="S4" s="781"/>
      <c r="T4" s="781"/>
      <c r="U4" s="781"/>
      <c r="V4" s="781"/>
      <c r="W4" s="781"/>
      <c r="X4" s="781"/>
      <c r="Y4" s="781"/>
      <c r="Z4" s="781"/>
      <c r="AA4" s="781"/>
      <c r="AB4" s="781"/>
      <c r="AC4" s="781"/>
      <c r="AD4" s="781"/>
      <c r="AE4" s="781"/>
      <c r="AF4" s="781"/>
      <c r="AG4" s="781"/>
      <c r="AH4" s="781"/>
      <c r="AI4" s="781"/>
      <c r="AJ4" s="781"/>
      <c r="AK4" s="781"/>
      <c r="AL4" s="781"/>
      <c r="AM4" s="840"/>
    </row>
    <row r="5" spans="1:39" hidden="1">
      <c r="A5" s="840"/>
      <c r="B5" s="840"/>
      <c r="C5" s="840"/>
      <c r="D5" s="840"/>
      <c r="E5" s="840"/>
      <c r="F5" s="840"/>
      <c r="G5" s="840"/>
      <c r="H5" s="840"/>
      <c r="I5" s="840"/>
      <c r="J5" s="840"/>
      <c r="K5" s="840"/>
      <c r="L5" s="840"/>
      <c r="M5" s="840"/>
      <c r="N5" s="840"/>
      <c r="O5" s="842"/>
      <c r="P5" s="840"/>
      <c r="Q5" s="840"/>
      <c r="R5" s="840"/>
      <c r="S5" s="781"/>
      <c r="T5" s="781"/>
      <c r="U5" s="781"/>
      <c r="V5" s="781"/>
      <c r="W5" s="781"/>
      <c r="X5" s="781"/>
      <c r="Y5" s="781"/>
      <c r="Z5" s="781"/>
      <c r="AA5" s="781"/>
      <c r="AB5" s="781"/>
      <c r="AC5" s="781"/>
      <c r="AD5" s="781"/>
      <c r="AE5" s="781"/>
      <c r="AF5" s="781"/>
      <c r="AG5" s="781"/>
      <c r="AH5" s="781"/>
      <c r="AI5" s="781"/>
      <c r="AJ5" s="781"/>
      <c r="AK5" s="781"/>
      <c r="AL5" s="781"/>
      <c r="AM5" s="840"/>
    </row>
    <row r="6" spans="1:39" hidden="1">
      <c r="A6" s="840"/>
      <c r="B6" s="840"/>
      <c r="C6" s="840"/>
      <c r="D6" s="840"/>
      <c r="E6" s="840"/>
      <c r="F6" s="840"/>
      <c r="G6" s="840"/>
      <c r="H6" s="840"/>
      <c r="I6" s="840"/>
      <c r="J6" s="840"/>
      <c r="K6" s="840"/>
      <c r="L6" s="840"/>
      <c r="M6" s="840"/>
      <c r="N6" s="840"/>
      <c r="O6" s="842"/>
      <c r="P6" s="840"/>
      <c r="Q6" s="840"/>
      <c r="R6" s="840"/>
      <c r="S6" s="781"/>
      <c r="T6" s="781"/>
      <c r="U6" s="781"/>
      <c r="V6" s="781"/>
      <c r="W6" s="781"/>
      <c r="X6" s="781"/>
      <c r="Y6" s="781"/>
      <c r="Z6" s="781"/>
      <c r="AA6" s="781"/>
      <c r="AB6" s="781"/>
      <c r="AC6" s="781"/>
      <c r="AD6" s="781"/>
      <c r="AE6" s="781"/>
      <c r="AF6" s="781"/>
      <c r="AG6" s="781"/>
      <c r="AH6" s="781"/>
      <c r="AI6" s="781"/>
      <c r="AJ6" s="781"/>
      <c r="AK6" s="781"/>
      <c r="AL6" s="781"/>
      <c r="AM6" s="840"/>
    </row>
    <row r="7" spans="1:39" hidden="1">
      <c r="A7" s="840"/>
      <c r="B7" s="840"/>
      <c r="C7" s="840"/>
      <c r="D7" s="840"/>
      <c r="E7" s="840"/>
      <c r="F7" s="840"/>
      <c r="G7" s="840"/>
      <c r="H7" s="840"/>
      <c r="I7" s="840"/>
      <c r="J7" s="840"/>
      <c r="K7" s="840"/>
      <c r="L7" s="840"/>
      <c r="M7" s="840"/>
      <c r="N7" s="840"/>
      <c r="O7" s="842"/>
      <c r="P7" s="840"/>
      <c r="Q7" s="840"/>
      <c r="R7" s="840"/>
      <c r="S7" s="731" t="b">
        <v>1</v>
      </c>
      <c r="T7" s="731" t="b">
        <v>0</v>
      </c>
      <c r="U7" s="731" t="b">
        <v>0</v>
      </c>
      <c r="V7" s="731" t="b">
        <v>0</v>
      </c>
      <c r="W7" s="731" t="b">
        <v>0</v>
      </c>
      <c r="X7" s="731" t="b">
        <v>0</v>
      </c>
      <c r="Y7" s="731" t="b">
        <v>0</v>
      </c>
      <c r="Z7" s="731" t="b">
        <v>0</v>
      </c>
      <c r="AA7" s="731" t="b">
        <v>0</v>
      </c>
      <c r="AB7" s="731" t="b">
        <v>0</v>
      </c>
      <c r="AC7" s="731" t="b">
        <v>1</v>
      </c>
      <c r="AD7" s="731" t="b">
        <v>0</v>
      </c>
      <c r="AE7" s="731" t="b">
        <v>0</v>
      </c>
      <c r="AF7" s="731" t="b">
        <v>0</v>
      </c>
      <c r="AG7" s="731" t="b">
        <v>0</v>
      </c>
      <c r="AH7" s="731" t="b">
        <v>0</v>
      </c>
      <c r="AI7" s="731" t="b">
        <v>0</v>
      </c>
      <c r="AJ7" s="731" t="b">
        <v>0</v>
      </c>
      <c r="AK7" s="731" t="b">
        <v>0</v>
      </c>
      <c r="AL7" s="731" t="b">
        <v>0</v>
      </c>
      <c r="AM7" s="840"/>
    </row>
    <row r="8" spans="1:39" hidden="1">
      <c r="A8" s="840"/>
      <c r="B8" s="840"/>
      <c r="C8" s="840"/>
      <c r="D8" s="840"/>
      <c r="E8" s="840"/>
      <c r="F8" s="840"/>
      <c r="G8" s="840"/>
      <c r="H8" s="840"/>
      <c r="I8" s="840"/>
      <c r="J8" s="840"/>
      <c r="K8" s="840"/>
      <c r="L8" s="840"/>
      <c r="M8" s="840"/>
      <c r="N8" s="840"/>
      <c r="O8" s="842"/>
      <c r="P8" s="840"/>
      <c r="Q8" s="840"/>
      <c r="R8" s="840"/>
      <c r="S8" s="840"/>
      <c r="T8" s="840"/>
      <c r="U8" s="840"/>
      <c r="V8" s="840"/>
      <c r="W8" s="840"/>
      <c r="X8" s="840"/>
      <c r="Y8" s="840"/>
      <c r="Z8" s="840"/>
      <c r="AA8" s="840"/>
      <c r="AB8" s="840"/>
      <c r="AC8" s="840"/>
      <c r="AD8" s="840"/>
      <c r="AE8" s="840"/>
      <c r="AF8" s="840"/>
      <c r="AG8" s="840"/>
      <c r="AH8" s="840"/>
      <c r="AI8" s="840"/>
      <c r="AJ8" s="840"/>
      <c r="AK8" s="840"/>
      <c r="AL8" s="840"/>
      <c r="AM8" s="840"/>
    </row>
    <row r="9" spans="1:39" hidden="1">
      <c r="A9" s="840"/>
      <c r="B9" s="840"/>
      <c r="C9" s="840"/>
      <c r="D9" s="840"/>
      <c r="E9" s="840"/>
      <c r="F9" s="840"/>
      <c r="G9" s="840"/>
      <c r="H9" s="840"/>
      <c r="I9" s="840"/>
      <c r="J9" s="840"/>
      <c r="K9" s="840"/>
      <c r="L9" s="840"/>
      <c r="M9" s="840"/>
      <c r="N9" s="840"/>
      <c r="O9" s="842"/>
      <c r="P9" s="840"/>
      <c r="Q9" s="840"/>
      <c r="R9" s="840"/>
      <c r="S9" s="840"/>
      <c r="T9" s="840"/>
      <c r="U9" s="840"/>
      <c r="V9" s="840"/>
      <c r="W9" s="840"/>
      <c r="X9" s="840"/>
      <c r="Y9" s="840"/>
      <c r="Z9" s="840"/>
      <c r="AA9" s="840"/>
      <c r="AB9" s="840"/>
      <c r="AC9" s="840"/>
      <c r="AD9" s="840"/>
      <c r="AE9" s="840"/>
      <c r="AF9" s="840"/>
      <c r="AG9" s="840"/>
      <c r="AH9" s="840"/>
      <c r="AI9" s="840"/>
      <c r="AJ9" s="840"/>
      <c r="AK9" s="840"/>
      <c r="AL9" s="840"/>
      <c r="AM9" s="840"/>
    </row>
    <row r="10" spans="1:39" hidden="1">
      <c r="A10" s="840"/>
      <c r="B10" s="840"/>
      <c r="C10" s="840"/>
      <c r="D10" s="840"/>
      <c r="E10" s="840"/>
      <c r="F10" s="840"/>
      <c r="G10" s="840"/>
      <c r="H10" s="840"/>
      <c r="I10" s="840"/>
      <c r="J10" s="840"/>
      <c r="K10" s="840"/>
      <c r="L10" s="840"/>
      <c r="M10" s="840"/>
      <c r="N10" s="840"/>
      <c r="O10" s="842"/>
      <c r="P10" s="840"/>
      <c r="Q10" s="840"/>
      <c r="R10" s="840"/>
      <c r="S10" s="840"/>
      <c r="T10" s="840"/>
      <c r="U10" s="840"/>
      <c r="V10" s="840"/>
      <c r="W10" s="840"/>
      <c r="X10" s="840"/>
      <c r="Y10" s="840"/>
      <c r="Z10" s="840"/>
      <c r="AA10" s="840"/>
      <c r="AB10" s="840"/>
      <c r="AC10" s="840"/>
      <c r="AD10" s="840"/>
      <c r="AE10" s="840"/>
      <c r="AF10" s="840"/>
      <c r="AG10" s="840"/>
      <c r="AH10" s="840"/>
      <c r="AI10" s="840"/>
      <c r="AJ10" s="840"/>
      <c r="AK10" s="840"/>
      <c r="AL10" s="840"/>
      <c r="AM10" s="840"/>
    </row>
    <row r="11" spans="1:39" ht="15" hidden="1" customHeight="1">
      <c r="A11" s="840"/>
      <c r="B11" s="840"/>
      <c r="C11" s="840"/>
      <c r="D11" s="840"/>
      <c r="E11" s="840"/>
      <c r="F11" s="840"/>
      <c r="G11" s="840"/>
      <c r="H11" s="840"/>
      <c r="I11" s="840"/>
      <c r="J11" s="840"/>
      <c r="K11" s="840"/>
      <c r="L11" s="840"/>
      <c r="M11" s="843"/>
      <c r="N11" s="840"/>
      <c r="O11" s="842"/>
      <c r="P11" s="840"/>
      <c r="Q11" s="840"/>
      <c r="R11" s="840"/>
      <c r="S11" s="840"/>
      <c r="T11" s="840"/>
      <c r="U11" s="840"/>
      <c r="V11" s="840"/>
      <c r="W11" s="840"/>
      <c r="X11" s="840"/>
      <c r="Y11" s="840"/>
      <c r="Z11" s="840"/>
      <c r="AA11" s="840"/>
      <c r="AB11" s="840"/>
      <c r="AC11" s="840"/>
      <c r="AD11" s="840"/>
      <c r="AE11" s="840"/>
      <c r="AF11" s="840"/>
      <c r="AG11" s="840"/>
      <c r="AH11" s="840"/>
      <c r="AI11" s="840"/>
      <c r="AJ11" s="840"/>
      <c r="AK11" s="840"/>
      <c r="AL11" s="840"/>
      <c r="AM11" s="840"/>
    </row>
    <row r="12" spans="1:39" s="80" customFormat="1" ht="20.100000000000001" customHeight="1">
      <c r="A12" s="774"/>
      <c r="B12" s="774"/>
      <c r="C12" s="774"/>
      <c r="D12" s="774"/>
      <c r="E12" s="774"/>
      <c r="F12" s="774"/>
      <c r="G12" s="774"/>
      <c r="H12" s="774"/>
      <c r="I12" s="774"/>
      <c r="J12" s="774"/>
      <c r="K12" s="774"/>
      <c r="L12" s="418" t="s">
        <v>1247</v>
      </c>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row>
    <row r="13" spans="1:39" s="80" customFormat="1" ht="11.25" customHeight="1">
      <c r="A13" s="774"/>
      <c r="B13" s="774"/>
      <c r="C13" s="774"/>
      <c r="D13" s="774"/>
      <c r="E13" s="774"/>
      <c r="F13" s="774"/>
      <c r="G13" s="774"/>
      <c r="H13" s="774"/>
      <c r="I13" s="774"/>
      <c r="J13" s="774"/>
      <c r="K13" s="774"/>
      <c r="L13" s="844"/>
      <c r="M13" s="774"/>
      <c r="N13" s="774"/>
      <c r="O13" s="845"/>
      <c r="P13" s="774"/>
      <c r="Q13" s="774"/>
      <c r="R13" s="774"/>
      <c r="S13" s="774"/>
      <c r="T13" s="774"/>
      <c r="U13" s="774"/>
      <c r="V13" s="774"/>
      <c r="W13" s="774"/>
      <c r="X13" s="774"/>
      <c r="Y13" s="774"/>
      <c r="Z13" s="774"/>
      <c r="AA13" s="774"/>
      <c r="AB13" s="774"/>
      <c r="AC13" s="774"/>
      <c r="AD13" s="774"/>
      <c r="AE13" s="774"/>
      <c r="AF13" s="774"/>
      <c r="AG13" s="774"/>
      <c r="AH13" s="774"/>
      <c r="AI13" s="774"/>
      <c r="AJ13" s="774"/>
      <c r="AK13" s="774"/>
      <c r="AL13" s="774"/>
      <c r="AM13" s="774"/>
    </row>
    <row r="14" spans="1:39" s="80" customFormat="1" ht="15" customHeight="1">
      <c r="A14" s="774"/>
      <c r="B14" s="774"/>
      <c r="C14" s="774"/>
      <c r="D14" s="774"/>
      <c r="E14" s="774"/>
      <c r="F14" s="774"/>
      <c r="G14" s="774"/>
      <c r="H14" s="774"/>
      <c r="I14" s="774"/>
      <c r="J14" s="774"/>
      <c r="K14" s="774"/>
      <c r="L14" s="1122" t="s">
        <v>16</v>
      </c>
      <c r="M14" s="1122" t="s">
        <v>121</v>
      </c>
      <c r="N14" s="1122" t="s">
        <v>267</v>
      </c>
      <c r="O14" s="782" t="s">
        <v>3010</v>
      </c>
      <c r="P14" s="782" t="s">
        <v>3010</v>
      </c>
      <c r="Q14" s="782" t="s">
        <v>3010</v>
      </c>
      <c r="R14" s="783" t="s">
        <v>3011</v>
      </c>
      <c r="S14" s="747" t="s">
        <v>3012</v>
      </c>
      <c r="T14" s="747" t="s">
        <v>3046</v>
      </c>
      <c r="U14" s="747" t="s">
        <v>3047</v>
      </c>
      <c r="V14" s="747" t="s">
        <v>3048</v>
      </c>
      <c r="W14" s="747" t="s">
        <v>3049</v>
      </c>
      <c r="X14" s="747" t="s">
        <v>3050</v>
      </c>
      <c r="Y14" s="747" t="s">
        <v>3051</v>
      </c>
      <c r="Z14" s="747" t="s">
        <v>3052</v>
      </c>
      <c r="AA14" s="747" t="s">
        <v>3053</v>
      </c>
      <c r="AB14" s="747" t="s">
        <v>3054</v>
      </c>
      <c r="AC14" s="747" t="s">
        <v>3012</v>
      </c>
      <c r="AD14" s="747" t="s">
        <v>3046</v>
      </c>
      <c r="AE14" s="747" t="s">
        <v>3047</v>
      </c>
      <c r="AF14" s="747" t="s">
        <v>3048</v>
      </c>
      <c r="AG14" s="747" t="s">
        <v>3049</v>
      </c>
      <c r="AH14" s="747" t="s">
        <v>3050</v>
      </c>
      <c r="AI14" s="747" t="s">
        <v>3051</v>
      </c>
      <c r="AJ14" s="747" t="s">
        <v>3052</v>
      </c>
      <c r="AK14" s="747" t="s">
        <v>3053</v>
      </c>
      <c r="AL14" s="747" t="s">
        <v>3054</v>
      </c>
      <c r="AM14" s="1112" t="s">
        <v>305</v>
      </c>
    </row>
    <row r="15" spans="1:39" s="80" customFormat="1" ht="50.1" customHeight="1">
      <c r="A15" s="774"/>
      <c r="B15" s="774"/>
      <c r="C15" s="774"/>
      <c r="D15" s="774"/>
      <c r="E15" s="774"/>
      <c r="F15" s="774"/>
      <c r="G15" s="774"/>
      <c r="H15" s="774"/>
      <c r="I15" s="774"/>
      <c r="J15" s="774"/>
      <c r="K15" s="774"/>
      <c r="L15" s="1122"/>
      <c r="M15" s="1122"/>
      <c r="N15" s="1122"/>
      <c r="O15" s="747" t="s">
        <v>268</v>
      </c>
      <c r="P15" s="747" t="s">
        <v>306</v>
      </c>
      <c r="Q15" s="747" t="s">
        <v>286</v>
      </c>
      <c r="R15" s="747" t="s">
        <v>268</v>
      </c>
      <c r="S15" s="784" t="s">
        <v>269</v>
      </c>
      <c r="T15" s="784" t="s">
        <v>269</v>
      </c>
      <c r="U15" s="784" t="s">
        <v>269</v>
      </c>
      <c r="V15" s="784" t="s">
        <v>269</v>
      </c>
      <c r="W15" s="784" t="s">
        <v>269</v>
      </c>
      <c r="X15" s="784" t="s">
        <v>269</v>
      </c>
      <c r="Y15" s="784" t="s">
        <v>269</v>
      </c>
      <c r="Z15" s="784" t="s">
        <v>269</v>
      </c>
      <c r="AA15" s="784" t="s">
        <v>269</v>
      </c>
      <c r="AB15" s="784" t="s">
        <v>269</v>
      </c>
      <c r="AC15" s="784" t="s">
        <v>268</v>
      </c>
      <c r="AD15" s="784" t="s">
        <v>268</v>
      </c>
      <c r="AE15" s="784" t="s">
        <v>268</v>
      </c>
      <c r="AF15" s="784" t="s">
        <v>268</v>
      </c>
      <c r="AG15" s="784" t="s">
        <v>268</v>
      </c>
      <c r="AH15" s="784" t="s">
        <v>268</v>
      </c>
      <c r="AI15" s="784" t="s">
        <v>268</v>
      </c>
      <c r="AJ15" s="784" t="s">
        <v>268</v>
      </c>
      <c r="AK15" s="784" t="s">
        <v>268</v>
      </c>
      <c r="AL15" s="784" t="s">
        <v>268</v>
      </c>
      <c r="AM15" s="1112"/>
    </row>
    <row r="16" spans="1:39" s="80" customFormat="1">
      <c r="A16" s="788" t="s">
        <v>18</v>
      </c>
      <c r="B16" s="774"/>
      <c r="C16" s="774"/>
      <c r="D16" s="774"/>
      <c r="E16" s="774"/>
      <c r="F16" s="774"/>
      <c r="G16" s="774"/>
      <c r="H16" s="774"/>
      <c r="I16" s="774"/>
      <c r="J16" s="774"/>
      <c r="K16" s="774"/>
      <c r="L16" s="828" t="s">
        <v>3005</v>
      </c>
      <c r="M16" s="708"/>
      <c r="N16" s="688"/>
      <c r="O16" s="688"/>
      <c r="P16" s="688"/>
      <c r="Q16" s="688"/>
      <c r="R16" s="688"/>
      <c r="S16" s="688"/>
      <c r="T16" s="688"/>
      <c r="U16" s="688"/>
      <c r="V16" s="688"/>
      <c r="W16" s="688"/>
      <c r="X16" s="688"/>
      <c r="Y16" s="688"/>
      <c r="Z16" s="688"/>
      <c r="AA16" s="688"/>
      <c r="AB16" s="688"/>
      <c r="AC16" s="688"/>
      <c r="AD16" s="688"/>
      <c r="AE16" s="688"/>
      <c r="AF16" s="688"/>
      <c r="AG16" s="688"/>
      <c r="AH16" s="688"/>
      <c r="AI16" s="688"/>
      <c r="AJ16" s="688"/>
      <c r="AK16" s="688"/>
      <c r="AL16" s="688"/>
      <c r="AM16" s="829"/>
    </row>
    <row r="17" spans="1:39" s="80" customFormat="1" ht="22.8">
      <c r="A17" s="809">
        <v>1</v>
      </c>
      <c r="B17" s="774" t="s">
        <v>1406</v>
      </c>
      <c r="C17" s="774"/>
      <c r="D17" s="774"/>
      <c r="E17" s="774"/>
      <c r="F17" s="774"/>
      <c r="G17" s="774"/>
      <c r="H17" s="774"/>
      <c r="I17" s="774"/>
      <c r="J17" s="774"/>
      <c r="K17" s="774"/>
      <c r="L17" s="846" t="s">
        <v>18</v>
      </c>
      <c r="M17" s="213" t="s">
        <v>393</v>
      </c>
      <c r="N17" s="847" t="s">
        <v>352</v>
      </c>
      <c r="O17" s="848">
        <v>0</v>
      </c>
      <c r="P17" s="848">
        <v>0</v>
      </c>
      <c r="Q17" s="848">
        <v>0</v>
      </c>
      <c r="R17" s="848">
        <v>0</v>
      </c>
      <c r="S17" s="848">
        <v>0</v>
      </c>
      <c r="T17" s="848">
        <v>0</v>
      </c>
      <c r="U17" s="848">
        <v>0</v>
      </c>
      <c r="V17" s="848">
        <v>0</v>
      </c>
      <c r="W17" s="848">
        <v>0</v>
      </c>
      <c r="X17" s="848">
        <v>0</v>
      </c>
      <c r="Y17" s="848">
        <v>0</v>
      </c>
      <c r="Z17" s="848">
        <v>0</v>
      </c>
      <c r="AA17" s="848">
        <v>0</v>
      </c>
      <c r="AB17" s="848">
        <v>0</v>
      </c>
      <c r="AC17" s="848">
        <v>0</v>
      </c>
      <c r="AD17" s="848">
        <v>0</v>
      </c>
      <c r="AE17" s="848">
        <v>0</v>
      </c>
      <c r="AF17" s="848">
        <v>0</v>
      </c>
      <c r="AG17" s="848">
        <v>0</v>
      </c>
      <c r="AH17" s="848">
        <v>0</v>
      </c>
      <c r="AI17" s="848">
        <v>0</v>
      </c>
      <c r="AJ17" s="848">
        <v>0</v>
      </c>
      <c r="AK17" s="848">
        <v>0</v>
      </c>
      <c r="AL17" s="848">
        <v>0</v>
      </c>
      <c r="AM17" s="796"/>
    </row>
    <row r="18" spans="1:39" s="80" customFormat="1">
      <c r="A18" s="809">
        <v>1</v>
      </c>
      <c r="B18" s="774" t="s">
        <v>1407</v>
      </c>
      <c r="C18" s="774"/>
      <c r="D18" s="774"/>
      <c r="E18" s="774"/>
      <c r="F18" s="774"/>
      <c r="G18" s="774"/>
      <c r="H18" s="774"/>
      <c r="I18" s="774"/>
      <c r="J18" s="774"/>
      <c r="K18" s="774"/>
      <c r="L18" s="849" t="s">
        <v>149</v>
      </c>
      <c r="M18" s="216" t="s">
        <v>12</v>
      </c>
      <c r="N18" s="749" t="s">
        <v>352</v>
      </c>
      <c r="O18" s="850">
        <v>0</v>
      </c>
      <c r="P18" s="850">
        <v>0</v>
      </c>
      <c r="Q18" s="850">
        <v>0</v>
      </c>
      <c r="R18" s="850">
        <v>0</v>
      </c>
      <c r="S18" s="850">
        <v>0</v>
      </c>
      <c r="T18" s="850">
        <v>0</v>
      </c>
      <c r="U18" s="850">
        <v>0</v>
      </c>
      <c r="V18" s="850">
        <v>0</v>
      </c>
      <c r="W18" s="850">
        <v>0</v>
      </c>
      <c r="X18" s="850">
        <v>0</v>
      </c>
      <c r="Y18" s="850">
        <v>0</v>
      </c>
      <c r="Z18" s="850">
        <v>0</v>
      </c>
      <c r="AA18" s="850">
        <v>0</v>
      </c>
      <c r="AB18" s="850">
        <v>0</v>
      </c>
      <c r="AC18" s="850">
        <v>0</v>
      </c>
      <c r="AD18" s="850">
        <v>0</v>
      </c>
      <c r="AE18" s="850">
        <v>0</v>
      </c>
      <c r="AF18" s="850">
        <v>0</v>
      </c>
      <c r="AG18" s="850">
        <v>0</v>
      </c>
      <c r="AH18" s="850">
        <v>0</v>
      </c>
      <c r="AI18" s="850">
        <v>0</v>
      </c>
      <c r="AJ18" s="850">
        <v>0</v>
      </c>
      <c r="AK18" s="850">
        <v>0</v>
      </c>
      <c r="AL18" s="850">
        <v>0</v>
      </c>
      <c r="AM18" s="796"/>
    </row>
    <row r="19" spans="1:39" s="80" customFormat="1" ht="22.8">
      <c r="A19" s="809">
        <v>1</v>
      </c>
      <c r="B19" s="774" t="s">
        <v>1658</v>
      </c>
      <c r="C19" s="774"/>
      <c r="D19" s="774"/>
      <c r="E19" s="774"/>
      <c r="F19" s="774"/>
      <c r="G19" s="774"/>
      <c r="H19" s="774"/>
      <c r="I19" s="774"/>
      <c r="J19" s="774"/>
      <c r="K19" s="774"/>
      <c r="L19" s="849" t="s">
        <v>394</v>
      </c>
      <c r="M19" s="851" t="s">
        <v>395</v>
      </c>
      <c r="N19" s="749" t="s">
        <v>352</v>
      </c>
      <c r="O19" s="850"/>
      <c r="P19" s="850"/>
      <c r="Q19" s="850"/>
      <c r="R19" s="850"/>
      <c r="S19" s="850"/>
      <c r="T19" s="850"/>
      <c r="U19" s="850"/>
      <c r="V19" s="850"/>
      <c r="W19" s="850"/>
      <c r="X19" s="850"/>
      <c r="Y19" s="850"/>
      <c r="Z19" s="850"/>
      <c r="AA19" s="850"/>
      <c r="AB19" s="850"/>
      <c r="AC19" s="850"/>
      <c r="AD19" s="850"/>
      <c r="AE19" s="850"/>
      <c r="AF19" s="850"/>
      <c r="AG19" s="850"/>
      <c r="AH19" s="850"/>
      <c r="AI19" s="850"/>
      <c r="AJ19" s="850"/>
      <c r="AK19" s="850"/>
      <c r="AL19" s="850"/>
      <c r="AM19" s="796"/>
    </row>
    <row r="20" spans="1:39" s="80" customFormat="1">
      <c r="A20" s="809">
        <v>1</v>
      </c>
      <c r="B20" s="774" t="s">
        <v>1659</v>
      </c>
      <c r="C20" s="774"/>
      <c r="D20" s="774"/>
      <c r="E20" s="774"/>
      <c r="F20" s="774"/>
      <c r="G20" s="774"/>
      <c r="H20" s="774"/>
      <c r="I20" s="774"/>
      <c r="J20" s="774"/>
      <c r="K20" s="774"/>
      <c r="L20" s="849" t="s">
        <v>396</v>
      </c>
      <c r="M20" s="851" t="s">
        <v>397</v>
      </c>
      <c r="N20" s="749" t="s">
        <v>352</v>
      </c>
      <c r="O20" s="850"/>
      <c r="P20" s="850"/>
      <c r="Q20" s="850"/>
      <c r="R20" s="850"/>
      <c r="S20" s="850"/>
      <c r="T20" s="850"/>
      <c r="U20" s="850"/>
      <c r="V20" s="850"/>
      <c r="W20" s="850"/>
      <c r="X20" s="850"/>
      <c r="Y20" s="850"/>
      <c r="Z20" s="850"/>
      <c r="AA20" s="850"/>
      <c r="AB20" s="850"/>
      <c r="AC20" s="850"/>
      <c r="AD20" s="850"/>
      <c r="AE20" s="850"/>
      <c r="AF20" s="850"/>
      <c r="AG20" s="850"/>
      <c r="AH20" s="850"/>
      <c r="AI20" s="850"/>
      <c r="AJ20" s="850"/>
      <c r="AK20" s="850"/>
      <c r="AL20" s="850"/>
      <c r="AM20" s="796"/>
    </row>
    <row r="21" spans="1:39" s="80" customFormat="1">
      <c r="A21" s="809">
        <v>1</v>
      </c>
      <c r="B21" s="774" t="s">
        <v>1408</v>
      </c>
      <c r="C21" s="774"/>
      <c r="D21" s="774"/>
      <c r="E21" s="774"/>
      <c r="F21" s="774"/>
      <c r="G21" s="774"/>
      <c r="H21" s="774"/>
      <c r="I21" s="774"/>
      <c r="J21" s="774"/>
      <c r="K21" s="774"/>
      <c r="L21" s="849" t="s">
        <v>150</v>
      </c>
      <c r="M21" s="852" t="s">
        <v>398</v>
      </c>
      <c r="N21" s="749" t="s">
        <v>352</v>
      </c>
      <c r="O21" s="850"/>
      <c r="P21" s="850"/>
      <c r="Q21" s="850"/>
      <c r="R21" s="850"/>
      <c r="S21" s="850"/>
      <c r="T21" s="850"/>
      <c r="U21" s="850"/>
      <c r="V21" s="850"/>
      <c r="W21" s="850"/>
      <c r="X21" s="850"/>
      <c r="Y21" s="850"/>
      <c r="Z21" s="850"/>
      <c r="AA21" s="850"/>
      <c r="AB21" s="850"/>
      <c r="AC21" s="850"/>
      <c r="AD21" s="850"/>
      <c r="AE21" s="850"/>
      <c r="AF21" s="850"/>
      <c r="AG21" s="850"/>
      <c r="AH21" s="850"/>
      <c r="AI21" s="850"/>
      <c r="AJ21" s="850"/>
      <c r="AK21" s="850"/>
      <c r="AL21" s="850"/>
      <c r="AM21" s="796"/>
    </row>
    <row r="22" spans="1:39" s="80" customFormat="1">
      <c r="A22" s="809">
        <v>1</v>
      </c>
      <c r="B22" s="774" t="s">
        <v>1519</v>
      </c>
      <c r="C22" s="774"/>
      <c r="D22" s="774"/>
      <c r="E22" s="774"/>
      <c r="F22" s="774"/>
      <c r="G22" s="774"/>
      <c r="H22" s="774"/>
      <c r="I22" s="774"/>
      <c r="J22" s="774"/>
      <c r="K22" s="774"/>
      <c r="L22" s="849" t="s">
        <v>360</v>
      </c>
      <c r="M22" s="853" t="s">
        <v>399</v>
      </c>
      <c r="N22" s="749" t="s">
        <v>352</v>
      </c>
      <c r="O22" s="850"/>
      <c r="P22" s="850"/>
      <c r="Q22" s="850"/>
      <c r="R22" s="850"/>
      <c r="S22" s="850"/>
      <c r="T22" s="850"/>
      <c r="U22" s="850"/>
      <c r="V22" s="850"/>
      <c r="W22" s="850"/>
      <c r="X22" s="850"/>
      <c r="Y22" s="850"/>
      <c r="Z22" s="850"/>
      <c r="AA22" s="850"/>
      <c r="AB22" s="850"/>
      <c r="AC22" s="850"/>
      <c r="AD22" s="850"/>
      <c r="AE22" s="850"/>
      <c r="AF22" s="850"/>
      <c r="AG22" s="850"/>
      <c r="AH22" s="850"/>
      <c r="AI22" s="850"/>
      <c r="AJ22" s="850"/>
      <c r="AK22" s="850"/>
      <c r="AL22" s="850"/>
      <c r="AM22" s="796"/>
    </row>
    <row r="23" spans="1:39" s="80" customFormat="1">
      <c r="A23" s="809">
        <v>1</v>
      </c>
      <c r="B23" s="774" t="s">
        <v>1527</v>
      </c>
      <c r="C23" s="774"/>
      <c r="D23" s="774"/>
      <c r="E23" s="774"/>
      <c r="F23" s="774"/>
      <c r="G23" s="774"/>
      <c r="H23" s="774"/>
      <c r="I23" s="774"/>
      <c r="J23" s="774"/>
      <c r="K23" s="774"/>
      <c r="L23" s="849" t="s">
        <v>362</v>
      </c>
      <c r="M23" s="853" t="s">
        <v>400</v>
      </c>
      <c r="N23" s="749" t="s">
        <v>352</v>
      </c>
      <c r="O23" s="850"/>
      <c r="P23" s="850"/>
      <c r="Q23" s="850"/>
      <c r="R23" s="850"/>
      <c r="S23" s="850"/>
      <c r="T23" s="850"/>
      <c r="U23" s="850"/>
      <c r="V23" s="850"/>
      <c r="W23" s="850"/>
      <c r="X23" s="850"/>
      <c r="Y23" s="850"/>
      <c r="Z23" s="850"/>
      <c r="AA23" s="850"/>
      <c r="AB23" s="850"/>
      <c r="AC23" s="850"/>
      <c r="AD23" s="850"/>
      <c r="AE23" s="850"/>
      <c r="AF23" s="850"/>
      <c r="AG23" s="850"/>
      <c r="AH23" s="850"/>
      <c r="AI23" s="850"/>
      <c r="AJ23" s="850"/>
      <c r="AK23" s="850"/>
      <c r="AL23" s="850"/>
      <c r="AM23" s="796"/>
    </row>
    <row r="24" spans="1:39" s="80" customFormat="1">
      <c r="A24" s="788" t="s">
        <v>102</v>
      </c>
      <c r="B24" s="774"/>
      <c r="C24" s="774"/>
      <c r="D24" s="774"/>
      <c r="E24" s="774"/>
      <c r="F24" s="774"/>
      <c r="G24" s="774"/>
      <c r="H24" s="774"/>
      <c r="I24" s="774"/>
      <c r="J24" s="774"/>
      <c r="K24" s="774"/>
      <c r="L24" s="828" t="s">
        <v>3009</v>
      </c>
      <c r="M24" s="708"/>
      <c r="N24" s="688"/>
      <c r="O24" s="688"/>
      <c r="P24" s="688"/>
      <c r="Q24" s="688"/>
      <c r="R24" s="688"/>
      <c r="S24" s="688"/>
      <c r="T24" s="688"/>
      <c r="U24" s="688"/>
      <c r="V24" s="688"/>
      <c r="W24" s="688"/>
      <c r="X24" s="688"/>
      <c r="Y24" s="688"/>
      <c r="Z24" s="688"/>
      <c r="AA24" s="688"/>
      <c r="AB24" s="688"/>
      <c r="AC24" s="688"/>
      <c r="AD24" s="688"/>
      <c r="AE24" s="688"/>
      <c r="AF24" s="688"/>
      <c r="AG24" s="688"/>
      <c r="AH24" s="688"/>
      <c r="AI24" s="688"/>
      <c r="AJ24" s="688"/>
      <c r="AK24" s="688"/>
      <c r="AL24" s="688"/>
      <c r="AM24" s="829"/>
    </row>
    <row r="25" spans="1:39" s="80" customFormat="1" ht="22.8">
      <c r="A25" s="809">
        <v>2</v>
      </c>
      <c r="B25" s="774" t="s">
        <v>1406</v>
      </c>
      <c r="C25" s="774"/>
      <c r="D25" s="774"/>
      <c r="E25" s="774"/>
      <c r="F25" s="774"/>
      <c r="G25" s="774"/>
      <c r="H25" s="774"/>
      <c r="I25" s="774"/>
      <c r="J25" s="774"/>
      <c r="K25" s="774"/>
      <c r="L25" s="846" t="s">
        <v>18</v>
      </c>
      <c r="M25" s="213" t="s">
        <v>393</v>
      </c>
      <c r="N25" s="847" t="s">
        <v>352</v>
      </c>
      <c r="O25" s="848">
        <v>110.2</v>
      </c>
      <c r="P25" s="848">
        <v>110.2</v>
      </c>
      <c r="Q25" s="848">
        <v>0</v>
      </c>
      <c r="R25" s="848">
        <v>110.2</v>
      </c>
      <c r="S25" s="848">
        <v>110.2</v>
      </c>
      <c r="T25" s="848">
        <v>0</v>
      </c>
      <c r="U25" s="848">
        <v>0</v>
      </c>
      <c r="V25" s="848">
        <v>0</v>
      </c>
      <c r="W25" s="848">
        <v>0</v>
      </c>
      <c r="X25" s="848">
        <v>0</v>
      </c>
      <c r="Y25" s="848">
        <v>0</v>
      </c>
      <c r="Z25" s="848">
        <v>0</v>
      </c>
      <c r="AA25" s="848">
        <v>0</v>
      </c>
      <c r="AB25" s="848">
        <v>0</v>
      </c>
      <c r="AC25" s="848">
        <v>0</v>
      </c>
      <c r="AD25" s="848">
        <v>0</v>
      </c>
      <c r="AE25" s="848">
        <v>0</v>
      </c>
      <c r="AF25" s="848">
        <v>0</v>
      </c>
      <c r="AG25" s="848">
        <v>0</v>
      </c>
      <c r="AH25" s="848">
        <v>0</v>
      </c>
      <c r="AI25" s="848">
        <v>0</v>
      </c>
      <c r="AJ25" s="848">
        <v>0</v>
      </c>
      <c r="AK25" s="848">
        <v>0</v>
      </c>
      <c r="AL25" s="848">
        <v>0</v>
      </c>
      <c r="AM25" s="796"/>
    </row>
    <row r="26" spans="1:39" s="80" customFormat="1">
      <c r="A26" s="809">
        <v>2</v>
      </c>
      <c r="B26" s="774" t="s">
        <v>1407</v>
      </c>
      <c r="C26" s="774"/>
      <c r="D26" s="774"/>
      <c r="E26" s="774"/>
      <c r="F26" s="774"/>
      <c r="G26" s="774"/>
      <c r="H26" s="774"/>
      <c r="I26" s="774"/>
      <c r="J26" s="774"/>
      <c r="K26" s="774"/>
      <c r="L26" s="849" t="s">
        <v>149</v>
      </c>
      <c r="M26" s="216" t="s">
        <v>12</v>
      </c>
      <c r="N26" s="749" t="s">
        <v>352</v>
      </c>
      <c r="O26" s="850">
        <v>110.2</v>
      </c>
      <c r="P26" s="850">
        <v>110.2</v>
      </c>
      <c r="Q26" s="850">
        <v>0</v>
      </c>
      <c r="R26" s="850">
        <v>110.2</v>
      </c>
      <c r="S26" s="850">
        <v>110.2</v>
      </c>
      <c r="T26" s="850">
        <v>0</v>
      </c>
      <c r="U26" s="850">
        <v>0</v>
      </c>
      <c r="V26" s="850">
        <v>0</v>
      </c>
      <c r="W26" s="850">
        <v>0</v>
      </c>
      <c r="X26" s="850">
        <v>0</v>
      </c>
      <c r="Y26" s="850">
        <v>0</v>
      </c>
      <c r="Z26" s="850">
        <v>0</v>
      </c>
      <c r="AA26" s="850">
        <v>0</v>
      </c>
      <c r="AB26" s="850">
        <v>0</v>
      </c>
      <c r="AC26" s="850">
        <v>0</v>
      </c>
      <c r="AD26" s="850">
        <v>0</v>
      </c>
      <c r="AE26" s="850">
        <v>0</v>
      </c>
      <c r="AF26" s="850">
        <v>0</v>
      </c>
      <c r="AG26" s="850">
        <v>0</v>
      </c>
      <c r="AH26" s="850">
        <v>0</v>
      </c>
      <c r="AI26" s="850">
        <v>0</v>
      </c>
      <c r="AJ26" s="850">
        <v>0</v>
      </c>
      <c r="AK26" s="850">
        <v>0</v>
      </c>
      <c r="AL26" s="850">
        <v>0</v>
      </c>
      <c r="AM26" s="796"/>
    </row>
    <row r="27" spans="1:39" s="80" customFormat="1" ht="22.8">
      <c r="A27" s="809">
        <v>2</v>
      </c>
      <c r="B27" s="774" t="s">
        <v>1658</v>
      </c>
      <c r="C27" s="774"/>
      <c r="D27" s="774"/>
      <c r="E27" s="774"/>
      <c r="F27" s="774"/>
      <c r="G27" s="774"/>
      <c r="H27" s="774"/>
      <c r="I27" s="774"/>
      <c r="J27" s="774"/>
      <c r="K27" s="774"/>
      <c r="L27" s="849" t="s">
        <v>394</v>
      </c>
      <c r="M27" s="851" t="s">
        <v>395</v>
      </c>
      <c r="N27" s="749" t="s">
        <v>352</v>
      </c>
      <c r="O27" s="850">
        <v>110.2</v>
      </c>
      <c r="P27" s="850">
        <v>110.2</v>
      </c>
      <c r="Q27" s="850">
        <v>0</v>
      </c>
      <c r="R27" s="850">
        <v>110.2</v>
      </c>
      <c r="S27" s="850">
        <v>110.2</v>
      </c>
      <c r="T27" s="850"/>
      <c r="U27" s="850"/>
      <c r="V27" s="850"/>
      <c r="W27" s="850"/>
      <c r="X27" s="850"/>
      <c r="Y27" s="850"/>
      <c r="Z27" s="850"/>
      <c r="AA27" s="850"/>
      <c r="AB27" s="850"/>
      <c r="AC27" s="850">
        <v>0</v>
      </c>
      <c r="AD27" s="850"/>
      <c r="AE27" s="850"/>
      <c r="AF27" s="850"/>
      <c r="AG27" s="850"/>
      <c r="AH27" s="850"/>
      <c r="AI27" s="850"/>
      <c r="AJ27" s="850"/>
      <c r="AK27" s="850"/>
      <c r="AL27" s="850"/>
      <c r="AM27" s="796"/>
    </row>
    <row r="28" spans="1:39" s="80" customFormat="1">
      <c r="A28" s="809">
        <v>2</v>
      </c>
      <c r="B28" s="774" t="s">
        <v>1659</v>
      </c>
      <c r="C28" s="774"/>
      <c r="D28" s="774"/>
      <c r="E28" s="774"/>
      <c r="F28" s="774"/>
      <c r="G28" s="774"/>
      <c r="H28" s="774"/>
      <c r="I28" s="774"/>
      <c r="J28" s="774"/>
      <c r="K28" s="774"/>
      <c r="L28" s="849" t="s">
        <v>396</v>
      </c>
      <c r="M28" s="851" t="s">
        <v>397</v>
      </c>
      <c r="N28" s="749" t="s">
        <v>352</v>
      </c>
      <c r="O28" s="850"/>
      <c r="P28" s="850"/>
      <c r="Q28" s="850"/>
      <c r="R28" s="850"/>
      <c r="S28" s="850"/>
      <c r="T28" s="850"/>
      <c r="U28" s="850"/>
      <c r="V28" s="850"/>
      <c r="W28" s="850"/>
      <c r="X28" s="850"/>
      <c r="Y28" s="850"/>
      <c r="Z28" s="850"/>
      <c r="AA28" s="850"/>
      <c r="AB28" s="850"/>
      <c r="AC28" s="850"/>
      <c r="AD28" s="850"/>
      <c r="AE28" s="850"/>
      <c r="AF28" s="850"/>
      <c r="AG28" s="850"/>
      <c r="AH28" s="850"/>
      <c r="AI28" s="850"/>
      <c r="AJ28" s="850"/>
      <c r="AK28" s="850"/>
      <c r="AL28" s="850"/>
      <c r="AM28" s="796"/>
    </row>
    <row r="29" spans="1:39" s="80" customFormat="1">
      <c r="A29" s="809">
        <v>2</v>
      </c>
      <c r="B29" s="774" t="s">
        <v>1408</v>
      </c>
      <c r="C29" s="774"/>
      <c r="D29" s="774"/>
      <c r="E29" s="774"/>
      <c r="F29" s="774"/>
      <c r="G29" s="774"/>
      <c r="H29" s="774"/>
      <c r="I29" s="774"/>
      <c r="J29" s="774"/>
      <c r="K29" s="774"/>
      <c r="L29" s="849" t="s">
        <v>150</v>
      </c>
      <c r="M29" s="852" t="s">
        <v>398</v>
      </c>
      <c r="N29" s="749" t="s">
        <v>352</v>
      </c>
      <c r="O29" s="850"/>
      <c r="P29" s="850"/>
      <c r="Q29" s="850"/>
      <c r="R29" s="850"/>
      <c r="S29" s="850"/>
      <c r="T29" s="850"/>
      <c r="U29" s="850"/>
      <c r="V29" s="850"/>
      <c r="W29" s="850"/>
      <c r="X29" s="850"/>
      <c r="Y29" s="850"/>
      <c r="Z29" s="850"/>
      <c r="AA29" s="850"/>
      <c r="AB29" s="850"/>
      <c r="AC29" s="850"/>
      <c r="AD29" s="850"/>
      <c r="AE29" s="850"/>
      <c r="AF29" s="850"/>
      <c r="AG29" s="850"/>
      <c r="AH29" s="850"/>
      <c r="AI29" s="850"/>
      <c r="AJ29" s="850"/>
      <c r="AK29" s="850"/>
      <c r="AL29" s="850"/>
      <c r="AM29" s="796"/>
    </row>
    <row r="30" spans="1:39" s="80" customFormat="1">
      <c r="A30" s="809">
        <v>2</v>
      </c>
      <c r="B30" s="774" t="s">
        <v>1519</v>
      </c>
      <c r="C30" s="774"/>
      <c r="D30" s="774"/>
      <c r="E30" s="774"/>
      <c r="F30" s="774"/>
      <c r="G30" s="774"/>
      <c r="H30" s="774"/>
      <c r="I30" s="774"/>
      <c r="J30" s="774"/>
      <c r="K30" s="774"/>
      <c r="L30" s="849" t="s">
        <v>360</v>
      </c>
      <c r="M30" s="853" t="s">
        <v>399</v>
      </c>
      <c r="N30" s="749" t="s">
        <v>352</v>
      </c>
      <c r="O30" s="850"/>
      <c r="P30" s="850"/>
      <c r="Q30" s="850"/>
      <c r="R30" s="850"/>
      <c r="S30" s="850"/>
      <c r="T30" s="850"/>
      <c r="U30" s="850"/>
      <c r="V30" s="850"/>
      <c r="W30" s="850"/>
      <c r="X30" s="850"/>
      <c r="Y30" s="850"/>
      <c r="Z30" s="850"/>
      <c r="AA30" s="850"/>
      <c r="AB30" s="850"/>
      <c r="AC30" s="850"/>
      <c r="AD30" s="850"/>
      <c r="AE30" s="850"/>
      <c r="AF30" s="850"/>
      <c r="AG30" s="850"/>
      <c r="AH30" s="850"/>
      <c r="AI30" s="850"/>
      <c r="AJ30" s="850"/>
      <c r="AK30" s="850"/>
      <c r="AL30" s="850"/>
      <c r="AM30" s="796"/>
    </row>
    <row r="31" spans="1:39" s="80" customFormat="1">
      <c r="A31" s="809">
        <v>2</v>
      </c>
      <c r="B31" s="774" t="s">
        <v>1527</v>
      </c>
      <c r="C31" s="774"/>
      <c r="D31" s="774"/>
      <c r="E31" s="774"/>
      <c r="F31" s="774"/>
      <c r="G31" s="774"/>
      <c r="H31" s="774"/>
      <c r="I31" s="774"/>
      <c r="J31" s="774"/>
      <c r="K31" s="774"/>
      <c r="L31" s="849" t="s">
        <v>362</v>
      </c>
      <c r="M31" s="853" t="s">
        <v>400</v>
      </c>
      <c r="N31" s="749" t="s">
        <v>352</v>
      </c>
      <c r="O31" s="850"/>
      <c r="P31" s="850"/>
      <c r="Q31" s="850"/>
      <c r="R31" s="850"/>
      <c r="S31" s="850"/>
      <c r="T31" s="850"/>
      <c r="U31" s="850"/>
      <c r="V31" s="850"/>
      <c r="W31" s="850"/>
      <c r="X31" s="850"/>
      <c r="Y31" s="850"/>
      <c r="Z31" s="850"/>
      <c r="AA31" s="850"/>
      <c r="AB31" s="850"/>
      <c r="AC31" s="850"/>
      <c r="AD31" s="850"/>
      <c r="AE31" s="850"/>
      <c r="AF31" s="850"/>
      <c r="AG31" s="850"/>
      <c r="AH31" s="850"/>
      <c r="AI31" s="850"/>
      <c r="AJ31" s="850"/>
      <c r="AK31" s="850"/>
      <c r="AL31" s="850"/>
      <c r="AM31" s="796"/>
    </row>
    <row r="32" spans="1:39">
      <c r="A32" s="840"/>
      <c r="B32" s="840"/>
      <c r="C32" s="840"/>
      <c r="D32" s="840"/>
      <c r="E32" s="840"/>
      <c r="F32" s="840"/>
      <c r="G32" s="840"/>
      <c r="H32" s="840"/>
      <c r="I32" s="840"/>
      <c r="J32" s="840"/>
      <c r="K32" s="840"/>
      <c r="L32" s="840"/>
      <c r="M32" s="840"/>
      <c r="N32" s="840"/>
      <c r="O32" s="842"/>
      <c r="P32" s="840"/>
      <c r="Q32" s="840"/>
      <c r="R32" s="840"/>
      <c r="S32" s="840"/>
      <c r="T32" s="840"/>
      <c r="U32" s="840"/>
      <c r="V32" s="840"/>
      <c r="W32" s="840"/>
      <c r="X32" s="840"/>
      <c r="Y32" s="840"/>
      <c r="Z32" s="840"/>
      <c r="AA32" s="840"/>
      <c r="AB32" s="840"/>
      <c r="AC32" s="840"/>
      <c r="AD32" s="840"/>
      <c r="AE32" s="840"/>
      <c r="AF32" s="840"/>
      <c r="AG32" s="840"/>
      <c r="AH32" s="840"/>
      <c r="AI32" s="840"/>
      <c r="AJ32" s="840"/>
      <c r="AK32" s="840"/>
      <c r="AL32" s="840"/>
      <c r="AM32" s="840"/>
    </row>
    <row r="33" spans="1:39" s="86" customFormat="1" ht="15" customHeight="1">
      <c r="A33" s="781"/>
      <c r="B33" s="781"/>
      <c r="C33" s="781"/>
      <c r="D33" s="781"/>
      <c r="E33" s="781"/>
      <c r="F33" s="781"/>
      <c r="G33" s="781"/>
      <c r="H33" s="781"/>
      <c r="I33" s="781"/>
      <c r="J33" s="781"/>
      <c r="K33" s="781"/>
      <c r="L33" s="1122" t="s">
        <v>1367</v>
      </c>
      <c r="M33" s="1122"/>
      <c r="N33" s="1122"/>
      <c r="O33" s="1122"/>
      <c r="P33" s="1122"/>
      <c r="Q33" s="1122"/>
      <c r="R33" s="1122"/>
      <c r="S33" s="1123"/>
      <c r="T33" s="1123"/>
      <c r="U33" s="1123"/>
      <c r="V33" s="1123"/>
      <c r="W33" s="1123"/>
      <c r="X33" s="1123"/>
      <c r="Y33" s="1123"/>
      <c r="Z33" s="1123"/>
      <c r="AA33" s="1123"/>
      <c r="AB33" s="1123"/>
      <c r="AC33" s="1123"/>
      <c r="AD33" s="1123"/>
      <c r="AE33" s="1123"/>
      <c r="AF33" s="1123"/>
      <c r="AG33" s="1123"/>
      <c r="AH33" s="1123"/>
      <c r="AI33" s="1123"/>
      <c r="AJ33" s="1123"/>
      <c r="AK33" s="1123"/>
      <c r="AL33" s="1123"/>
      <c r="AM33" s="1123"/>
    </row>
    <row r="34" spans="1:39" s="86" customFormat="1" ht="15" customHeight="1">
      <c r="A34" s="781"/>
      <c r="B34" s="781"/>
      <c r="C34" s="781"/>
      <c r="D34" s="781"/>
      <c r="E34" s="781"/>
      <c r="F34" s="781"/>
      <c r="G34" s="781"/>
      <c r="H34" s="781"/>
      <c r="I34" s="781"/>
      <c r="J34" s="781"/>
      <c r="K34" s="662"/>
      <c r="L34" s="1128" t="s">
        <v>2983</v>
      </c>
      <c r="M34" s="1124"/>
      <c r="N34" s="1124"/>
      <c r="O34" s="1124"/>
      <c r="P34" s="1124"/>
      <c r="Q34" s="1124"/>
      <c r="R34" s="1124"/>
      <c r="S34" s="1125"/>
      <c r="T34" s="1125"/>
      <c r="U34" s="1125"/>
      <c r="V34" s="1125"/>
      <c r="W34" s="1125"/>
      <c r="X34" s="1125"/>
      <c r="Y34" s="1125"/>
      <c r="Z34" s="1125"/>
      <c r="AA34" s="1125"/>
      <c r="AB34" s="1125"/>
      <c r="AC34" s="1125"/>
      <c r="AD34" s="1125"/>
      <c r="AE34" s="1125"/>
      <c r="AF34" s="1125"/>
      <c r="AG34" s="1125"/>
      <c r="AH34" s="1125"/>
      <c r="AI34" s="1125"/>
      <c r="AJ34" s="1125"/>
      <c r="AK34" s="1125"/>
      <c r="AL34" s="1125"/>
      <c r="AM34" s="1125"/>
    </row>
    <row r="35" spans="1:39" s="86" customFormat="1" ht="180" customHeight="1">
      <c r="A35" s="781"/>
      <c r="B35" s="781"/>
      <c r="C35" s="781"/>
      <c r="D35" s="781"/>
      <c r="E35" s="781"/>
      <c r="F35" s="781"/>
      <c r="G35" s="781"/>
      <c r="H35" s="781"/>
      <c r="I35" s="781"/>
      <c r="J35" s="781"/>
      <c r="K35" s="662" t="s">
        <v>3055</v>
      </c>
      <c r="L35" s="1128" t="s">
        <v>2984</v>
      </c>
      <c r="M35" s="1124"/>
      <c r="N35" s="1124"/>
      <c r="O35" s="1124"/>
      <c r="P35" s="1124"/>
      <c r="Q35" s="1124"/>
      <c r="R35" s="1124"/>
      <c r="S35" s="1125"/>
      <c r="T35" s="1125"/>
      <c r="U35" s="1125"/>
      <c r="V35" s="1125"/>
      <c r="W35" s="1125"/>
      <c r="X35" s="1125"/>
      <c r="Y35" s="1125"/>
      <c r="Z35" s="1125"/>
      <c r="AA35" s="1125"/>
      <c r="AB35" s="1125"/>
      <c r="AC35" s="1125"/>
      <c r="AD35" s="1125"/>
      <c r="AE35" s="1125"/>
      <c r="AF35" s="1125"/>
      <c r="AG35" s="1125"/>
      <c r="AH35" s="1125"/>
      <c r="AI35" s="1125"/>
      <c r="AJ35" s="1125"/>
      <c r="AK35" s="1125"/>
      <c r="AL35" s="1125"/>
      <c r="AM35" s="1125"/>
    </row>
  </sheetData>
  <sheetProtection formatColumns="0" formatRows="0" autoFilter="0"/>
  <mergeCells count="7">
    <mergeCell ref="L35:AM35"/>
    <mergeCell ref="L33:AM33"/>
    <mergeCell ref="L34:AM34"/>
    <mergeCell ref="AM14:AM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AM17:AM23 AM25:AM31">
      <formula1>900</formula1>
    </dataValidation>
    <dataValidation type="decimal" allowBlank="1" showErrorMessage="1" errorTitle="Ошибка" error="Допускается ввод только неотрицательных чисел!" sqref="O19:AL23 O27:AL31">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rowBreaks count="1" manualBreakCount="1">
    <brk id="32"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AM61"/>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8.75" defaultRowHeight="10.199999999999999"/>
  <cols>
    <col min="1" max="10" width="2.25" style="96" hidden="1" customWidth="1"/>
    <col min="11" max="11" width="3.75" style="96" hidden="1" customWidth="1"/>
    <col min="12" max="12" width="7.125" style="96" customWidth="1"/>
    <col min="13" max="13" width="44.125" style="96" customWidth="1"/>
    <col min="14" max="14" width="12.75" style="96" customWidth="1"/>
    <col min="15" max="19" width="13.25" style="96" customWidth="1"/>
    <col min="20" max="28" width="13.25" style="96" hidden="1" customWidth="1"/>
    <col min="29" max="29" width="13.25" style="96" customWidth="1"/>
    <col min="30" max="38" width="13.25" style="96" hidden="1" customWidth="1"/>
    <col min="39" max="39" width="20.75" style="96" customWidth="1"/>
    <col min="40" max="214" width="8.75" style="96"/>
    <col min="215" max="215" width="3.125" style="96" customWidth="1"/>
    <col min="216" max="216" width="24.875" style="96" customWidth="1"/>
    <col min="217" max="217" width="11.75" style="96" bestFit="1" customWidth="1"/>
    <col min="218" max="218" width="14.125" style="96" customWidth="1"/>
    <col min="219" max="219" width="10.25" style="96" customWidth="1"/>
    <col min="220" max="220" width="9.875" style="96" customWidth="1"/>
    <col min="221" max="221" width="10.25" style="96" customWidth="1"/>
    <col min="222" max="222" width="9" style="96" customWidth="1"/>
    <col min="223" max="225" width="8.75" style="96" customWidth="1"/>
    <col min="226" max="226" width="8" style="96" customWidth="1"/>
    <col min="227" max="227" width="8.125" style="96" customWidth="1"/>
    <col min="228" max="228" width="9.25" style="96" customWidth="1"/>
    <col min="229" max="229" width="8.625" style="96" customWidth="1"/>
    <col min="230" max="230" width="8.75" style="96" customWidth="1"/>
    <col min="231" max="231" width="14.125" style="96" customWidth="1"/>
    <col min="232" max="232" width="12.875" style="96" customWidth="1"/>
    <col min="233" max="233" width="10.125" style="96" customWidth="1"/>
    <col min="234" max="234" width="14" style="96" customWidth="1"/>
    <col min="235" max="254" width="2.25" style="96" customWidth="1"/>
    <col min="255" max="470" width="8.75" style="96"/>
    <col min="471" max="471" width="3.125" style="96" customWidth="1"/>
    <col min="472" max="472" width="24.875" style="96" customWidth="1"/>
    <col min="473" max="473" width="11.75" style="96" bestFit="1" customWidth="1"/>
    <col min="474" max="474" width="14.125" style="96" customWidth="1"/>
    <col min="475" max="475" width="10.25" style="96" customWidth="1"/>
    <col min="476" max="476" width="9.875" style="96" customWidth="1"/>
    <col min="477" max="477" width="10.25" style="96" customWidth="1"/>
    <col min="478" max="478" width="9" style="96" customWidth="1"/>
    <col min="479" max="481" width="8.75" style="96" customWidth="1"/>
    <col min="482" max="482" width="8" style="96" customWidth="1"/>
    <col min="483" max="483" width="8.125" style="96" customWidth="1"/>
    <col min="484" max="484" width="9.25" style="96" customWidth="1"/>
    <col min="485" max="485" width="8.625" style="96" customWidth="1"/>
    <col min="486" max="486" width="8.75" style="96" customWidth="1"/>
    <col min="487" max="487" width="14.125" style="96" customWidth="1"/>
    <col min="488" max="488" width="12.875" style="96" customWidth="1"/>
    <col min="489" max="489" width="10.125" style="96" customWidth="1"/>
    <col min="490" max="490" width="14" style="96" customWidth="1"/>
    <col min="491" max="510" width="2.25" style="96" customWidth="1"/>
    <col min="511" max="726" width="8.75" style="96"/>
    <col min="727" max="727" width="3.125" style="96" customWidth="1"/>
    <col min="728" max="728" width="24.875" style="96" customWidth="1"/>
    <col min="729" max="729" width="11.75" style="96" bestFit="1" customWidth="1"/>
    <col min="730" max="730" width="14.125" style="96" customWidth="1"/>
    <col min="731" max="731" width="10.25" style="96" customWidth="1"/>
    <col min="732" max="732" width="9.875" style="96" customWidth="1"/>
    <col min="733" max="733" width="10.25" style="96" customWidth="1"/>
    <col min="734" max="734" width="9" style="96" customWidth="1"/>
    <col min="735" max="737" width="8.75" style="96" customWidth="1"/>
    <col min="738" max="738" width="8" style="96" customWidth="1"/>
    <col min="739" max="739" width="8.125" style="96" customWidth="1"/>
    <col min="740" max="740" width="9.25" style="96" customWidth="1"/>
    <col min="741" max="741" width="8.625" style="96" customWidth="1"/>
    <col min="742" max="742" width="8.75" style="96" customWidth="1"/>
    <col min="743" max="743" width="14.125" style="96" customWidth="1"/>
    <col min="744" max="744" width="12.875" style="96" customWidth="1"/>
    <col min="745" max="745" width="10.125" style="96" customWidth="1"/>
    <col min="746" max="746" width="14" style="96" customWidth="1"/>
    <col min="747" max="766" width="2.25" style="96" customWidth="1"/>
    <col min="767" max="982" width="8.75" style="96"/>
    <col min="983" max="983" width="3.125" style="96" customWidth="1"/>
    <col min="984" max="984" width="24.875" style="96" customWidth="1"/>
    <col min="985" max="985" width="11.75" style="96" bestFit="1" customWidth="1"/>
    <col min="986" max="986" width="14.125" style="96" customWidth="1"/>
    <col min="987" max="987" width="10.25" style="96" customWidth="1"/>
    <col min="988" max="988" width="9.875" style="96" customWidth="1"/>
    <col min="989" max="989" width="10.25" style="96" customWidth="1"/>
    <col min="990" max="990" width="9" style="96" customWidth="1"/>
    <col min="991" max="993" width="8.75" style="96" customWidth="1"/>
    <col min="994" max="994" width="8" style="96" customWidth="1"/>
    <col min="995" max="995" width="8.125" style="96" customWidth="1"/>
    <col min="996" max="996" width="9.25" style="96" customWidth="1"/>
    <col min="997" max="997" width="8.625" style="96" customWidth="1"/>
    <col min="998" max="998" width="8.75" style="96" customWidth="1"/>
    <col min="999" max="999" width="14.125" style="96" customWidth="1"/>
    <col min="1000" max="1000" width="12.875" style="96" customWidth="1"/>
    <col min="1001" max="1001" width="10.125" style="96" customWidth="1"/>
    <col min="1002" max="1002" width="14" style="96" customWidth="1"/>
    <col min="1003" max="1022" width="2.25" style="96" customWidth="1"/>
    <col min="1023" max="1238" width="8.75" style="96"/>
    <col min="1239" max="1239" width="3.125" style="96" customWidth="1"/>
    <col min="1240" max="1240" width="24.875" style="96" customWidth="1"/>
    <col min="1241" max="1241" width="11.75" style="96" bestFit="1" customWidth="1"/>
    <col min="1242" max="1242" width="14.125" style="96" customWidth="1"/>
    <col min="1243" max="1243" width="10.25" style="96" customWidth="1"/>
    <col min="1244" max="1244" width="9.875" style="96" customWidth="1"/>
    <col min="1245" max="1245" width="10.25" style="96" customWidth="1"/>
    <col min="1246" max="1246" width="9" style="96" customWidth="1"/>
    <col min="1247" max="1249" width="8.75" style="96" customWidth="1"/>
    <col min="1250" max="1250" width="8" style="96" customWidth="1"/>
    <col min="1251" max="1251" width="8.125" style="96" customWidth="1"/>
    <col min="1252" max="1252" width="9.25" style="96" customWidth="1"/>
    <col min="1253" max="1253" width="8.625" style="96" customWidth="1"/>
    <col min="1254" max="1254" width="8.75" style="96" customWidth="1"/>
    <col min="1255" max="1255" width="14.125" style="96" customWidth="1"/>
    <col min="1256" max="1256" width="12.875" style="96" customWidth="1"/>
    <col min="1257" max="1257" width="10.125" style="96" customWidth="1"/>
    <col min="1258" max="1258" width="14" style="96" customWidth="1"/>
    <col min="1259" max="1278" width="2.25" style="96" customWidth="1"/>
    <col min="1279" max="1494" width="8.75" style="96"/>
    <col min="1495" max="1495" width="3.125" style="96" customWidth="1"/>
    <col min="1496" max="1496" width="24.875" style="96" customWidth="1"/>
    <col min="1497" max="1497" width="11.75" style="96" bestFit="1" customWidth="1"/>
    <col min="1498" max="1498" width="14.125" style="96" customWidth="1"/>
    <col min="1499" max="1499" width="10.25" style="96" customWidth="1"/>
    <col min="1500" max="1500" width="9.875" style="96" customWidth="1"/>
    <col min="1501" max="1501" width="10.25" style="96" customWidth="1"/>
    <col min="1502" max="1502" width="9" style="96" customWidth="1"/>
    <col min="1503" max="1505" width="8.75" style="96" customWidth="1"/>
    <col min="1506" max="1506" width="8" style="96" customWidth="1"/>
    <col min="1507" max="1507" width="8.125" style="96" customWidth="1"/>
    <col min="1508" max="1508" width="9.25" style="96" customWidth="1"/>
    <col min="1509" max="1509" width="8.625" style="96" customWidth="1"/>
    <col min="1510" max="1510" width="8.75" style="96" customWidth="1"/>
    <col min="1511" max="1511" width="14.125" style="96" customWidth="1"/>
    <col min="1512" max="1512" width="12.875" style="96" customWidth="1"/>
    <col min="1513" max="1513" width="10.125" style="96" customWidth="1"/>
    <col min="1514" max="1514" width="14" style="96" customWidth="1"/>
    <col min="1515" max="1534" width="2.25" style="96" customWidth="1"/>
    <col min="1535" max="1750" width="8.75" style="96"/>
    <col min="1751" max="1751" width="3.125" style="96" customWidth="1"/>
    <col min="1752" max="1752" width="24.875" style="96" customWidth="1"/>
    <col min="1753" max="1753" width="11.75" style="96" bestFit="1" customWidth="1"/>
    <col min="1754" max="1754" width="14.125" style="96" customWidth="1"/>
    <col min="1755" max="1755" width="10.25" style="96" customWidth="1"/>
    <col min="1756" max="1756" width="9.875" style="96" customWidth="1"/>
    <col min="1757" max="1757" width="10.25" style="96" customWidth="1"/>
    <col min="1758" max="1758" width="9" style="96" customWidth="1"/>
    <col min="1759" max="1761" width="8.75" style="96" customWidth="1"/>
    <col min="1762" max="1762" width="8" style="96" customWidth="1"/>
    <col min="1763" max="1763" width="8.125" style="96" customWidth="1"/>
    <col min="1764" max="1764" width="9.25" style="96" customWidth="1"/>
    <col min="1765" max="1765" width="8.625" style="96" customWidth="1"/>
    <col min="1766" max="1766" width="8.75" style="96" customWidth="1"/>
    <col min="1767" max="1767" width="14.125" style="96" customWidth="1"/>
    <col min="1768" max="1768" width="12.875" style="96" customWidth="1"/>
    <col min="1769" max="1769" width="10.125" style="96" customWidth="1"/>
    <col min="1770" max="1770" width="14" style="96" customWidth="1"/>
    <col min="1771" max="1790" width="2.25" style="96" customWidth="1"/>
    <col min="1791" max="2006" width="8.75" style="96"/>
    <col min="2007" max="2007" width="3.125" style="96" customWidth="1"/>
    <col min="2008" max="2008" width="24.875" style="96" customWidth="1"/>
    <col min="2009" max="2009" width="11.75" style="96" bestFit="1" customWidth="1"/>
    <col min="2010" max="2010" width="14.125" style="96" customWidth="1"/>
    <col min="2011" max="2011" width="10.25" style="96" customWidth="1"/>
    <col min="2012" max="2012" width="9.875" style="96" customWidth="1"/>
    <col min="2013" max="2013" width="10.25" style="96" customWidth="1"/>
    <col min="2014" max="2014" width="9" style="96" customWidth="1"/>
    <col min="2015" max="2017" width="8.75" style="96" customWidth="1"/>
    <col min="2018" max="2018" width="8" style="96" customWidth="1"/>
    <col min="2019" max="2019" width="8.125" style="96" customWidth="1"/>
    <col min="2020" max="2020" width="9.25" style="96" customWidth="1"/>
    <col min="2021" max="2021" width="8.625" style="96" customWidth="1"/>
    <col min="2022" max="2022" width="8.75" style="96" customWidth="1"/>
    <col min="2023" max="2023" width="14.125" style="96" customWidth="1"/>
    <col min="2024" max="2024" width="12.875" style="96" customWidth="1"/>
    <col min="2025" max="2025" width="10.125" style="96" customWidth="1"/>
    <col min="2026" max="2026" width="14" style="96" customWidth="1"/>
    <col min="2027" max="2046" width="2.25" style="96" customWidth="1"/>
    <col min="2047" max="2262" width="8.75" style="96"/>
    <col min="2263" max="2263" width="3.125" style="96" customWidth="1"/>
    <col min="2264" max="2264" width="24.875" style="96" customWidth="1"/>
    <col min="2265" max="2265" width="11.75" style="96" bestFit="1" customWidth="1"/>
    <col min="2266" max="2266" width="14.125" style="96" customWidth="1"/>
    <col min="2267" max="2267" width="10.25" style="96" customWidth="1"/>
    <col min="2268" max="2268" width="9.875" style="96" customWidth="1"/>
    <col min="2269" max="2269" width="10.25" style="96" customWidth="1"/>
    <col min="2270" max="2270" width="9" style="96" customWidth="1"/>
    <col min="2271" max="2273" width="8.75" style="96" customWidth="1"/>
    <col min="2274" max="2274" width="8" style="96" customWidth="1"/>
    <col min="2275" max="2275" width="8.125" style="96" customWidth="1"/>
    <col min="2276" max="2276" width="9.25" style="96" customWidth="1"/>
    <col min="2277" max="2277" width="8.625" style="96" customWidth="1"/>
    <col min="2278" max="2278" width="8.75" style="96" customWidth="1"/>
    <col min="2279" max="2279" width="14.125" style="96" customWidth="1"/>
    <col min="2280" max="2280" width="12.875" style="96" customWidth="1"/>
    <col min="2281" max="2281" width="10.125" style="96" customWidth="1"/>
    <col min="2282" max="2282" width="14" style="96" customWidth="1"/>
    <col min="2283" max="2302" width="2.25" style="96" customWidth="1"/>
    <col min="2303" max="2518" width="8.75" style="96"/>
    <col min="2519" max="2519" width="3.125" style="96" customWidth="1"/>
    <col min="2520" max="2520" width="24.875" style="96" customWidth="1"/>
    <col min="2521" max="2521" width="11.75" style="96" bestFit="1" customWidth="1"/>
    <col min="2522" max="2522" width="14.125" style="96" customWidth="1"/>
    <col min="2523" max="2523" width="10.25" style="96" customWidth="1"/>
    <col min="2524" max="2524" width="9.875" style="96" customWidth="1"/>
    <col min="2525" max="2525" width="10.25" style="96" customWidth="1"/>
    <col min="2526" max="2526" width="9" style="96" customWidth="1"/>
    <col min="2527" max="2529" width="8.75" style="96" customWidth="1"/>
    <col min="2530" max="2530" width="8" style="96" customWidth="1"/>
    <col min="2531" max="2531" width="8.125" style="96" customWidth="1"/>
    <col min="2532" max="2532" width="9.25" style="96" customWidth="1"/>
    <col min="2533" max="2533" width="8.625" style="96" customWidth="1"/>
    <col min="2534" max="2534" width="8.75" style="96" customWidth="1"/>
    <col min="2535" max="2535" width="14.125" style="96" customWidth="1"/>
    <col min="2536" max="2536" width="12.875" style="96" customWidth="1"/>
    <col min="2537" max="2537" width="10.125" style="96" customWidth="1"/>
    <col min="2538" max="2538" width="14" style="96" customWidth="1"/>
    <col min="2539" max="2558" width="2.25" style="96" customWidth="1"/>
    <col min="2559" max="2774" width="8.75" style="96"/>
    <col min="2775" max="2775" width="3.125" style="96" customWidth="1"/>
    <col min="2776" max="2776" width="24.875" style="96" customWidth="1"/>
    <col min="2777" max="2777" width="11.75" style="96" bestFit="1" customWidth="1"/>
    <col min="2778" max="2778" width="14.125" style="96" customWidth="1"/>
    <col min="2779" max="2779" width="10.25" style="96" customWidth="1"/>
    <col min="2780" max="2780" width="9.875" style="96" customWidth="1"/>
    <col min="2781" max="2781" width="10.25" style="96" customWidth="1"/>
    <col min="2782" max="2782" width="9" style="96" customWidth="1"/>
    <col min="2783" max="2785" width="8.75" style="96" customWidth="1"/>
    <col min="2786" max="2786" width="8" style="96" customWidth="1"/>
    <col min="2787" max="2787" width="8.125" style="96" customWidth="1"/>
    <col min="2788" max="2788" width="9.25" style="96" customWidth="1"/>
    <col min="2789" max="2789" width="8.625" style="96" customWidth="1"/>
    <col min="2790" max="2790" width="8.75" style="96" customWidth="1"/>
    <col min="2791" max="2791" width="14.125" style="96" customWidth="1"/>
    <col min="2792" max="2792" width="12.875" style="96" customWidth="1"/>
    <col min="2793" max="2793" width="10.125" style="96" customWidth="1"/>
    <col min="2794" max="2794" width="14" style="96" customWidth="1"/>
    <col min="2795" max="2814" width="2.25" style="96" customWidth="1"/>
    <col min="2815" max="3030" width="8.75" style="96"/>
    <col min="3031" max="3031" width="3.125" style="96" customWidth="1"/>
    <col min="3032" max="3032" width="24.875" style="96" customWidth="1"/>
    <col min="3033" max="3033" width="11.75" style="96" bestFit="1" customWidth="1"/>
    <col min="3034" max="3034" width="14.125" style="96" customWidth="1"/>
    <col min="3035" max="3035" width="10.25" style="96" customWidth="1"/>
    <col min="3036" max="3036" width="9.875" style="96" customWidth="1"/>
    <col min="3037" max="3037" width="10.25" style="96" customWidth="1"/>
    <col min="3038" max="3038" width="9" style="96" customWidth="1"/>
    <col min="3039" max="3041" width="8.75" style="96" customWidth="1"/>
    <col min="3042" max="3042" width="8" style="96" customWidth="1"/>
    <col min="3043" max="3043" width="8.125" style="96" customWidth="1"/>
    <col min="3044" max="3044" width="9.25" style="96" customWidth="1"/>
    <col min="3045" max="3045" width="8.625" style="96" customWidth="1"/>
    <col min="3046" max="3046" width="8.75" style="96" customWidth="1"/>
    <col min="3047" max="3047" width="14.125" style="96" customWidth="1"/>
    <col min="3048" max="3048" width="12.875" style="96" customWidth="1"/>
    <col min="3049" max="3049" width="10.125" style="96" customWidth="1"/>
    <col min="3050" max="3050" width="14" style="96" customWidth="1"/>
    <col min="3051" max="3070" width="2.25" style="96" customWidth="1"/>
    <col min="3071" max="3286" width="8.75" style="96"/>
    <col min="3287" max="3287" width="3.125" style="96" customWidth="1"/>
    <col min="3288" max="3288" width="24.875" style="96" customWidth="1"/>
    <col min="3289" max="3289" width="11.75" style="96" bestFit="1" customWidth="1"/>
    <col min="3290" max="3290" width="14.125" style="96" customWidth="1"/>
    <col min="3291" max="3291" width="10.25" style="96" customWidth="1"/>
    <col min="3292" max="3292" width="9.875" style="96" customWidth="1"/>
    <col min="3293" max="3293" width="10.25" style="96" customWidth="1"/>
    <col min="3294" max="3294" width="9" style="96" customWidth="1"/>
    <col min="3295" max="3297" width="8.75" style="96" customWidth="1"/>
    <col min="3298" max="3298" width="8" style="96" customWidth="1"/>
    <col min="3299" max="3299" width="8.125" style="96" customWidth="1"/>
    <col min="3300" max="3300" width="9.25" style="96" customWidth="1"/>
    <col min="3301" max="3301" width="8.625" style="96" customWidth="1"/>
    <col min="3302" max="3302" width="8.75" style="96" customWidth="1"/>
    <col min="3303" max="3303" width="14.125" style="96" customWidth="1"/>
    <col min="3304" max="3304" width="12.875" style="96" customWidth="1"/>
    <col min="3305" max="3305" width="10.125" style="96" customWidth="1"/>
    <col min="3306" max="3306" width="14" style="96" customWidth="1"/>
    <col min="3307" max="3326" width="2.25" style="96" customWidth="1"/>
    <col min="3327" max="3542" width="8.75" style="96"/>
    <col min="3543" max="3543" width="3.125" style="96" customWidth="1"/>
    <col min="3544" max="3544" width="24.875" style="96" customWidth="1"/>
    <col min="3545" max="3545" width="11.75" style="96" bestFit="1" customWidth="1"/>
    <col min="3546" max="3546" width="14.125" style="96" customWidth="1"/>
    <col min="3547" max="3547" width="10.25" style="96" customWidth="1"/>
    <col min="3548" max="3548" width="9.875" style="96" customWidth="1"/>
    <col min="3549" max="3549" width="10.25" style="96" customWidth="1"/>
    <col min="3550" max="3550" width="9" style="96" customWidth="1"/>
    <col min="3551" max="3553" width="8.75" style="96" customWidth="1"/>
    <col min="3554" max="3554" width="8" style="96" customWidth="1"/>
    <col min="3555" max="3555" width="8.125" style="96" customWidth="1"/>
    <col min="3556" max="3556" width="9.25" style="96" customWidth="1"/>
    <col min="3557" max="3557" width="8.625" style="96" customWidth="1"/>
    <col min="3558" max="3558" width="8.75" style="96" customWidth="1"/>
    <col min="3559" max="3559" width="14.125" style="96" customWidth="1"/>
    <col min="3560" max="3560" width="12.875" style="96" customWidth="1"/>
    <col min="3561" max="3561" width="10.125" style="96" customWidth="1"/>
    <col min="3562" max="3562" width="14" style="96" customWidth="1"/>
    <col min="3563" max="3582" width="2.25" style="96" customWidth="1"/>
    <col min="3583" max="3798" width="8.75" style="96"/>
    <col min="3799" max="3799" width="3.125" style="96" customWidth="1"/>
    <col min="3800" max="3800" width="24.875" style="96" customWidth="1"/>
    <col min="3801" max="3801" width="11.75" style="96" bestFit="1" customWidth="1"/>
    <col min="3802" max="3802" width="14.125" style="96" customWidth="1"/>
    <col min="3803" max="3803" width="10.25" style="96" customWidth="1"/>
    <col min="3804" max="3804" width="9.875" style="96" customWidth="1"/>
    <col min="3805" max="3805" width="10.25" style="96" customWidth="1"/>
    <col min="3806" max="3806" width="9" style="96" customWidth="1"/>
    <col min="3807" max="3809" width="8.75" style="96" customWidth="1"/>
    <col min="3810" max="3810" width="8" style="96" customWidth="1"/>
    <col min="3811" max="3811" width="8.125" style="96" customWidth="1"/>
    <col min="3812" max="3812" width="9.25" style="96" customWidth="1"/>
    <col min="3813" max="3813" width="8.625" style="96" customWidth="1"/>
    <col min="3814" max="3814" width="8.75" style="96" customWidth="1"/>
    <col min="3815" max="3815" width="14.125" style="96" customWidth="1"/>
    <col min="3816" max="3816" width="12.875" style="96" customWidth="1"/>
    <col min="3817" max="3817" width="10.125" style="96" customWidth="1"/>
    <col min="3818" max="3818" width="14" style="96" customWidth="1"/>
    <col min="3819" max="3838" width="2.25" style="96" customWidth="1"/>
    <col min="3839" max="4054" width="8.75" style="96"/>
    <col min="4055" max="4055" width="3.125" style="96" customWidth="1"/>
    <col min="4056" max="4056" width="24.875" style="96" customWidth="1"/>
    <col min="4057" max="4057" width="11.75" style="96" bestFit="1" customWidth="1"/>
    <col min="4058" max="4058" width="14.125" style="96" customWidth="1"/>
    <col min="4059" max="4059" width="10.25" style="96" customWidth="1"/>
    <col min="4060" max="4060" width="9.875" style="96" customWidth="1"/>
    <col min="4061" max="4061" width="10.25" style="96" customWidth="1"/>
    <col min="4062" max="4062" width="9" style="96" customWidth="1"/>
    <col min="4063" max="4065" width="8.75" style="96" customWidth="1"/>
    <col min="4066" max="4066" width="8" style="96" customWidth="1"/>
    <col min="4067" max="4067" width="8.125" style="96" customWidth="1"/>
    <col min="4068" max="4068" width="9.25" style="96" customWidth="1"/>
    <col min="4069" max="4069" width="8.625" style="96" customWidth="1"/>
    <col min="4070" max="4070" width="8.75" style="96" customWidth="1"/>
    <col min="4071" max="4071" width="14.125" style="96" customWidth="1"/>
    <col min="4072" max="4072" width="12.875" style="96" customWidth="1"/>
    <col min="4073" max="4073" width="10.125" style="96" customWidth="1"/>
    <col min="4074" max="4074" width="14" style="96" customWidth="1"/>
    <col min="4075" max="4094" width="2.25" style="96" customWidth="1"/>
    <col min="4095" max="4310" width="8.75" style="96"/>
    <col min="4311" max="4311" width="3.125" style="96" customWidth="1"/>
    <col min="4312" max="4312" width="24.875" style="96" customWidth="1"/>
    <col min="4313" max="4313" width="11.75" style="96" bestFit="1" customWidth="1"/>
    <col min="4314" max="4314" width="14.125" style="96" customWidth="1"/>
    <col min="4315" max="4315" width="10.25" style="96" customWidth="1"/>
    <col min="4316" max="4316" width="9.875" style="96" customWidth="1"/>
    <col min="4317" max="4317" width="10.25" style="96" customWidth="1"/>
    <col min="4318" max="4318" width="9" style="96" customWidth="1"/>
    <col min="4319" max="4321" width="8.75" style="96" customWidth="1"/>
    <col min="4322" max="4322" width="8" style="96" customWidth="1"/>
    <col min="4323" max="4323" width="8.125" style="96" customWidth="1"/>
    <col min="4324" max="4324" width="9.25" style="96" customWidth="1"/>
    <col min="4325" max="4325" width="8.625" style="96" customWidth="1"/>
    <col min="4326" max="4326" width="8.75" style="96" customWidth="1"/>
    <col min="4327" max="4327" width="14.125" style="96" customWidth="1"/>
    <col min="4328" max="4328" width="12.875" style="96" customWidth="1"/>
    <col min="4329" max="4329" width="10.125" style="96" customWidth="1"/>
    <col min="4330" max="4330" width="14" style="96" customWidth="1"/>
    <col min="4331" max="4350" width="2.25" style="96" customWidth="1"/>
    <col min="4351" max="4566" width="8.75" style="96"/>
    <col min="4567" max="4567" width="3.125" style="96" customWidth="1"/>
    <col min="4568" max="4568" width="24.875" style="96" customWidth="1"/>
    <col min="4569" max="4569" width="11.75" style="96" bestFit="1" customWidth="1"/>
    <col min="4570" max="4570" width="14.125" style="96" customWidth="1"/>
    <col min="4571" max="4571" width="10.25" style="96" customWidth="1"/>
    <col min="4572" max="4572" width="9.875" style="96" customWidth="1"/>
    <col min="4573" max="4573" width="10.25" style="96" customWidth="1"/>
    <col min="4574" max="4574" width="9" style="96" customWidth="1"/>
    <col min="4575" max="4577" width="8.75" style="96" customWidth="1"/>
    <col min="4578" max="4578" width="8" style="96" customWidth="1"/>
    <col min="4579" max="4579" width="8.125" style="96" customWidth="1"/>
    <col min="4580" max="4580" width="9.25" style="96" customWidth="1"/>
    <col min="4581" max="4581" width="8.625" style="96" customWidth="1"/>
    <col min="4582" max="4582" width="8.75" style="96" customWidth="1"/>
    <col min="4583" max="4583" width="14.125" style="96" customWidth="1"/>
    <col min="4584" max="4584" width="12.875" style="96" customWidth="1"/>
    <col min="4585" max="4585" width="10.125" style="96" customWidth="1"/>
    <col min="4586" max="4586" width="14" style="96" customWidth="1"/>
    <col min="4587" max="4606" width="2.25" style="96" customWidth="1"/>
    <col min="4607" max="4822" width="8.75" style="96"/>
    <col min="4823" max="4823" width="3.125" style="96" customWidth="1"/>
    <col min="4824" max="4824" width="24.875" style="96" customWidth="1"/>
    <col min="4825" max="4825" width="11.75" style="96" bestFit="1" customWidth="1"/>
    <col min="4826" max="4826" width="14.125" style="96" customWidth="1"/>
    <col min="4827" max="4827" width="10.25" style="96" customWidth="1"/>
    <col min="4828" max="4828" width="9.875" style="96" customWidth="1"/>
    <col min="4829" max="4829" width="10.25" style="96" customWidth="1"/>
    <col min="4830" max="4830" width="9" style="96" customWidth="1"/>
    <col min="4831" max="4833" width="8.75" style="96" customWidth="1"/>
    <col min="4834" max="4834" width="8" style="96" customWidth="1"/>
    <col min="4835" max="4835" width="8.125" style="96" customWidth="1"/>
    <col min="4836" max="4836" width="9.25" style="96" customWidth="1"/>
    <col min="4837" max="4837" width="8.625" style="96" customWidth="1"/>
    <col min="4838" max="4838" width="8.75" style="96" customWidth="1"/>
    <col min="4839" max="4839" width="14.125" style="96" customWidth="1"/>
    <col min="4840" max="4840" width="12.875" style="96" customWidth="1"/>
    <col min="4841" max="4841" width="10.125" style="96" customWidth="1"/>
    <col min="4842" max="4842" width="14" style="96" customWidth="1"/>
    <col min="4843" max="4862" width="2.25" style="96" customWidth="1"/>
    <col min="4863" max="5078" width="8.75" style="96"/>
    <col min="5079" max="5079" width="3.125" style="96" customWidth="1"/>
    <col min="5080" max="5080" width="24.875" style="96" customWidth="1"/>
    <col min="5081" max="5081" width="11.75" style="96" bestFit="1" customWidth="1"/>
    <col min="5082" max="5082" width="14.125" style="96" customWidth="1"/>
    <col min="5083" max="5083" width="10.25" style="96" customWidth="1"/>
    <col min="5084" max="5084" width="9.875" style="96" customWidth="1"/>
    <col min="5085" max="5085" width="10.25" style="96" customWidth="1"/>
    <col min="5086" max="5086" width="9" style="96" customWidth="1"/>
    <col min="5087" max="5089" width="8.75" style="96" customWidth="1"/>
    <col min="5090" max="5090" width="8" style="96" customWidth="1"/>
    <col min="5091" max="5091" width="8.125" style="96" customWidth="1"/>
    <col min="5092" max="5092" width="9.25" style="96" customWidth="1"/>
    <col min="5093" max="5093" width="8.625" style="96" customWidth="1"/>
    <col min="5094" max="5094" width="8.75" style="96" customWidth="1"/>
    <col min="5095" max="5095" width="14.125" style="96" customWidth="1"/>
    <col min="5096" max="5096" width="12.875" style="96" customWidth="1"/>
    <col min="5097" max="5097" width="10.125" style="96" customWidth="1"/>
    <col min="5098" max="5098" width="14" style="96" customWidth="1"/>
    <col min="5099" max="5118" width="2.25" style="96" customWidth="1"/>
    <col min="5119" max="5334" width="8.75" style="96"/>
    <col min="5335" max="5335" width="3.125" style="96" customWidth="1"/>
    <col min="5336" max="5336" width="24.875" style="96" customWidth="1"/>
    <col min="5337" max="5337" width="11.75" style="96" bestFit="1" customWidth="1"/>
    <col min="5338" max="5338" width="14.125" style="96" customWidth="1"/>
    <col min="5339" max="5339" width="10.25" style="96" customWidth="1"/>
    <col min="5340" max="5340" width="9.875" style="96" customWidth="1"/>
    <col min="5341" max="5341" width="10.25" style="96" customWidth="1"/>
    <col min="5342" max="5342" width="9" style="96" customWidth="1"/>
    <col min="5343" max="5345" width="8.75" style="96" customWidth="1"/>
    <col min="5346" max="5346" width="8" style="96" customWidth="1"/>
    <col min="5347" max="5347" width="8.125" style="96" customWidth="1"/>
    <col min="5348" max="5348" width="9.25" style="96" customWidth="1"/>
    <col min="5349" max="5349" width="8.625" style="96" customWidth="1"/>
    <col min="5350" max="5350" width="8.75" style="96" customWidth="1"/>
    <col min="5351" max="5351" width="14.125" style="96" customWidth="1"/>
    <col min="5352" max="5352" width="12.875" style="96" customWidth="1"/>
    <col min="5353" max="5353" width="10.125" style="96" customWidth="1"/>
    <col min="5354" max="5354" width="14" style="96" customWidth="1"/>
    <col min="5355" max="5374" width="2.25" style="96" customWidth="1"/>
    <col min="5375" max="5590" width="8.75" style="96"/>
    <col min="5591" max="5591" width="3.125" style="96" customWidth="1"/>
    <col min="5592" max="5592" width="24.875" style="96" customWidth="1"/>
    <col min="5593" max="5593" width="11.75" style="96" bestFit="1" customWidth="1"/>
    <col min="5594" max="5594" width="14.125" style="96" customWidth="1"/>
    <col min="5595" max="5595" width="10.25" style="96" customWidth="1"/>
    <col min="5596" max="5596" width="9.875" style="96" customWidth="1"/>
    <col min="5597" max="5597" width="10.25" style="96" customWidth="1"/>
    <col min="5598" max="5598" width="9" style="96" customWidth="1"/>
    <col min="5599" max="5601" width="8.75" style="96" customWidth="1"/>
    <col min="5602" max="5602" width="8" style="96" customWidth="1"/>
    <col min="5603" max="5603" width="8.125" style="96" customWidth="1"/>
    <col min="5604" max="5604" width="9.25" style="96" customWidth="1"/>
    <col min="5605" max="5605" width="8.625" style="96" customWidth="1"/>
    <col min="5606" max="5606" width="8.75" style="96" customWidth="1"/>
    <col min="5607" max="5607" width="14.125" style="96" customWidth="1"/>
    <col min="5608" max="5608" width="12.875" style="96" customWidth="1"/>
    <col min="5609" max="5609" width="10.125" style="96" customWidth="1"/>
    <col min="5610" max="5610" width="14" style="96" customWidth="1"/>
    <col min="5611" max="5630" width="2.25" style="96" customWidth="1"/>
    <col min="5631" max="5846" width="8.75" style="96"/>
    <col min="5847" max="5847" width="3.125" style="96" customWidth="1"/>
    <col min="5848" max="5848" width="24.875" style="96" customWidth="1"/>
    <col min="5849" max="5849" width="11.75" style="96" bestFit="1" customWidth="1"/>
    <col min="5850" max="5850" width="14.125" style="96" customWidth="1"/>
    <col min="5851" max="5851" width="10.25" style="96" customWidth="1"/>
    <col min="5852" max="5852" width="9.875" style="96" customWidth="1"/>
    <col min="5853" max="5853" width="10.25" style="96" customWidth="1"/>
    <col min="5854" max="5854" width="9" style="96" customWidth="1"/>
    <col min="5855" max="5857" width="8.75" style="96" customWidth="1"/>
    <col min="5858" max="5858" width="8" style="96" customWidth="1"/>
    <col min="5859" max="5859" width="8.125" style="96" customWidth="1"/>
    <col min="5860" max="5860" width="9.25" style="96" customWidth="1"/>
    <col min="5861" max="5861" width="8.625" style="96" customWidth="1"/>
    <col min="5862" max="5862" width="8.75" style="96" customWidth="1"/>
    <col min="5863" max="5863" width="14.125" style="96" customWidth="1"/>
    <col min="5864" max="5864" width="12.875" style="96" customWidth="1"/>
    <col min="5865" max="5865" width="10.125" style="96" customWidth="1"/>
    <col min="5866" max="5866" width="14" style="96" customWidth="1"/>
    <col min="5867" max="5886" width="2.25" style="96" customWidth="1"/>
    <col min="5887" max="6102" width="8.75" style="96"/>
    <col min="6103" max="6103" width="3.125" style="96" customWidth="1"/>
    <col min="6104" max="6104" width="24.875" style="96" customWidth="1"/>
    <col min="6105" max="6105" width="11.75" style="96" bestFit="1" customWidth="1"/>
    <col min="6106" max="6106" width="14.125" style="96" customWidth="1"/>
    <col min="6107" max="6107" width="10.25" style="96" customWidth="1"/>
    <col min="6108" max="6108" width="9.875" style="96" customWidth="1"/>
    <col min="6109" max="6109" width="10.25" style="96" customWidth="1"/>
    <col min="6110" max="6110" width="9" style="96" customWidth="1"/>
    <col min="6111" max="6113" width="8.75" style="96" customWidth="1"/>
    <col min="6114" max="6114" width="8" style="96" customWidth="1"/>
    <col min="6115" max="6115" width="8.125" style="96" customWidth="1"/>
    <col min="6116" max="6116" width="9.25" style="96" customWidth="1"/>
    <col min="6117" max="6117" width="8.625" style="96" customWidth="1"/>
    <col min="6118" max="6118" width="8.75" style="96" customWidth="1"/>
    <col min="6119" max="6119" width="14.125" style="96" customWidth="1"/>
    <col min="6120" max="6120" width="12.875" style="96" customWidth="1"/>
    <col min="6121" max="6121" width="10.125" style="96" customWidth="1"/>
    <col min="6122" max="6122" width="14" style="96" customWidth="1"/>
    <col min="6123" max="6142" width="2.25" style="96" customWidth="1"/>
    <col min="6143" max="6358" width="8.75" style="96"/>
    <col min="6359" max="6359" width="3.125" style="96" customWidth="1"/>
    <col min="6360" max="6360" width="24.875" style="96" customWidth="1"/>
    <col min="6361" max="6361" width="11.75" style="96" bestFit="1" customWidth="1"/>
    <col min="6362" max="6362" width="14.125" style="96" customWidth="1"/>
    <col min="6363" max="6363" width="10.25" style="96" customWidth="1"/>
    <col min="6364" max="6364" width="9.875" style="96" customWidth="1"/>
    <col min="6365" max="6365" width="10.25" style="96" customWidth="1"/>
    <col min="6366" max="6366" width="9" style="96" customWidth="1"/>
    <col min="6367" max="6369" width="8.75" style="96" customWidth="1"/>
    <col min="6370" max="6370" width="8" style="96" customWidth="1"/>
    <col min="6371" max="6371" width="8.125" style="96" customWidth="1"/>
    <col min="6372" max="6372" width="9.25" style="96" customWidth="1"/>
    <col min="6373" max="6373" width="8.625" style="96" customWidth="1"/>
    <col min="6374" max="6374" width="8.75" style="96" customWidth="1"/>
    <col min="6375" max="6375" width="14.125" style="96" customWidth="1"/>
    <col min="6376" max="6376" width="12.875" style="96" customWidth="1"/>
    <col min="6377" max="6377" width="10.125" style="96" customWidth="1"/>
    <col min="6378" max="6378" width="14" style="96" customWidth="1"/>
    <col min="6379" max="6398" width="2.25" style="96" customWidth="1"/>
    <col min="6399" max="6614" width="8.75" style="96"/>
    <col min="6615" max="6615" width="3.125" style="96" customWidth="1"/>
    <col min="6616" max="6616" width="24.875" style="96" customWidth="1"/>
    <col min="6617" max="6617" width="11.75" style="96" bestFit="1" customWidth="1"/>
    <col min="6618" max="6618" width="14.125" style="96" customWidth="1"/>
    <col min="6619" max="6619" width="10.25" style="96" customWidth="1"/>
    <col min="6620" max="6620" width="9.875" style="96" customWidth="1"/>
    <col min="6621" max="6621" width="10.25" style="96" customWidth="1"/>
    <col min="6622" max="6622" width="9" style="96" customWidth="1"/>
    <col min="6623" max="6625" width="8.75" style="96" customWidth="1"/>
    <col min="6626" max="6626" width="8" style="96" customWidth="1"/>
    <col min="6627" max="6627" width="8.125" style="96" customWidth="1"/>
    <col min="6628" max="6628" width="9.25" style="96" customWidth="1"/>
    <col min="6629" max="6629" width="8.625" style="96" customWidth="1"/>
    <col min="6630" max="6630" width="8.75" style="96" customWidth="1"/>
    <col min="6631" max="6631" width="14.125" style="96" customWidth="1"/>
    <col min="6632" max="6632" width="12.875" style="96" customWidth="1"/>
    <col min="6633" max="6633" width="10.125" style="96" customWidth="1"/>
    <col min="6634" max="6634" width="14" style="96" customWidth="1"/>
    <col min="6635" max="6654" width="2.25" style="96" customWidth="1"/>
    <col min="6655" max="6870" width="8.75" style="96"/>
    <col min="6871" max="6871" width="3.125" style="96" customWidth="1"/>
    <col min="6872" max="6872" width="24.875" style="96" customWidth="1"/>
    <col min="6873" max="6873" width="11.75" style="96" bestFit="1" customWidth="1"/>
    <col min="6874" max="6874" width="14.125" style="96" customWidth="1"/>
    <col min="6875" max="6875" width="10.25" style="96" customWidth="1"/>
    <col min="6876" max="6876" width="9.875" style="96" customWidth="1"/>
    <col min="6877" max="6877" width="10.25" style="96" customWidth="1"/>
    <col min="6878" max="6878" width="9" style="96" customWidth="1"/>
    <col min="6879" max="6881" width="8.75" style="96" customWidth="1"/>
    <col min="6882" max="6882" width="8" style="96" customWidth="1"/>
    <col min="6883" max="6883" width="8.125" style="96" customWidth="1"/>
    <col min="6884" max="6884" width="9.25" style="96" customWidth="1"/>
    <col min="6885" max="6885" width="8.625" style="96" customWidth="1"/>
    <col min="6886" max="6886" width="8.75" style="96" customWidth="1"/>
    <col min="6887" max="6887" width="14.125" style="96" customWidth="1"/>
    <col min="6888" max="6888" width="12.875" style="96" customWidth="1"/>
    <col min="6889" max="6889" width="10.125" style="96" customWidth="1"/>
    <col min="6890" max="6890" width="14" style="96" customWidth="1"/>
    <col min="6891" max="6910" width="2.25" style="96" customWidth="1"/>
    <col min="6911" max="7126" width="8.75" style="96"/>
    <col min="7127" max="7127" width="3.125" style="96" customWidth="1"/>
    <col min="7128" max="7128" width="24.875" style="96" customWidth="1"/>
    <col min="7129" max="7129" width="11.75" style="96" bestFit="1" customWidth="1"/>
    <col min="7130" max="7130" width="14.125" style="96" customWidth="1"/>
    <col min="7131" max="7131" width="10.25" style="96" customWidth="1"/>
    <col min="7132" max="7132" width="9.875" style="96" customWidth="1"/>
    <col min="7133" max="7133" width="10.25" style="96" customWidth="1"/>
    <col min="7134" max="7134" width="9" style="96" customWidth="1"/>
    <col min="7135" max="7137" width="8.75" style="96" customWidth="1"/>
    <col min="7138" max="7138" width="8" style="96" customWidth="1"/>
    <col min="7139" max="7139" width="8.125" style="96" customWidth="1"/>
    <col min="7140" max="7140" width="9.25" style="96" customWidth="1"/>
    <col min="7141" max="7141" width="8.625" style="96" customWidth="1"/>
    <col min="7142" max="7142" width="8.75" style="96" customWidth="1"/>
    <col min="7143" max="7143" width="14.125" style="96" customWidth="1"/>
    <col min="7144" max="7144" width="12.875" style="96" customWidth="1"/>
    <col min="7145" max="7145" width="10.125" style="96" customWidth="1"/>
    <col min="7146" max="7146" width="14" style="96" customWidth="1"/>
    <col min="7147" max="7166" width="2.25" style="96" customWidth="1"/>
    <col min="7167" max="7382" width="8.75" style="96"/>
    <col min="7383" max="7383" width="3.125" style="96" customWidth="1"/>
    <col min="7384" max="7384" width="24.875" style="96" customWidth="1"/>
    <col min="7385" max="7385" width="11.75" style="96" bestFit="1" customWidth="1"/>
    <col min="7386" max="7386" width="14.125" style="96" customWidth="1"/>
    <col min="7387" max="7387" width="10.25" style="96" customWidth="1"/>
    <col min="7388" max="7388" width="9.875" style="96" customWidth="1"/>
    <col min="7389" max="7389" width="10.25" style="96" customWidth="1"/>
    <col min="7390" max="7390" width="9" style="96" customWidth="1"/>
    <col min="7391" max="7393" width="8.75" style="96" customWidth="1"/>
    <col min="7394" max="7394" width="8" style="96" customWidth="1"/>
    <col min="7395" max="7395" width="8.125" style="96" customWidth="1"/>
    <col min="7396" max="7396" width="9.25" style="96" customWidth="1"/>
    <col min="7397" max="7397" width="8.625" style="96" customWidth="1"/>
    <col min="7398" max="7398" width="8.75" style="96" customWidth="1"/>
    <col min="7399" max="7399" width="14.125" style="96" customWidth="1"/>
    <col min="7400" max="7400" width="12.875" style="96" customWidth="1"/>
    <col min="7401" max="7401" width="10.125" style="96" customWidth="1"/>
    <col min="7402" max="7402" width="14" style="96" customWidth="1"/>
    <col min="7403" max="7422" width="2.25" style="96" customWidth="1"/>
    <col min="7423" max="7638" width="8.75" style="96"/>
    <col min="7639" max="7639" width="3.125" style="96" customWidth="1"/>
    <col min="7640" max="7640" width="24.875" style="96" customWidth="1"/>
    <col min="7641" max="7641" width="11.75" style="96" bestFit="1" customWidth="1"/>
    <col min="7642" max="7642" width="14.125" style="96" customWidth="1"/>
    <col min="7643" max="7643" width="10.25" style="96" customWidth="1"/>
    <col min="7644" max="7644" width="9.875" style="96" customWidth="1"/>
    <col min="7645" max="7645" width="10.25" style="96" customWidth="1"/>
    <col min="7646" max="7646" width="9" style="96" customWidth="1"/>
    <col min="7647" max="7649" width="8.75" style="96" customWidth="1"/>
    <col min="7650" max="7650" width="8" style="96" customWidth="1"/>
    <col min="7651" max="7651" width="8.125" style="96" customWidth="1"/>
    <col min="7652" max="7652" width="9.25" style="96" customWidth="1"/>
    <col min="7653" max="7653" width="8.625" style="96" customWidth="1"/>
    <col min="7654" max="7654" width="8.75" style="96" customWidth="1"/>
    <col min="7655" max="7655" width="14.125" style="96" customWidth="1"/>
    <col min="7656" max="7656" width="12.875" style="96" customWidth="1"/>
    <col min="7657" max="7657" width="10.125" style="96" customWidth="1"/>
    <col min="7658" max="7658" width="14" style="96" customWidth="1"/>
    <col min="7659" max="7678" width="2.25" style="96" customWidth="1"/>
    <col min="7679" max="7894" width="8.75" style="96"/>
    <col min="7895" max="7895" width="3.125" style="96" customWidth="1"/>
    <col min="7896" max="7896" width="24.875" style="96" customWidth="1"/>
    <col min="7897" max="7897" width="11.75" style="96" bestFit="1" customWidth="1"/>
    <col min="7898" max="7898" width="14.125" style="96" customWidth="1"/>
    <col min="7899" max="7899" width="10.25" style="96" customWidth="1"/>
    <col min="7900" max="7900" width="9.875" style="96" customWidth="1"/>
    <col min="7901" max="7901" width="10.25" style="96" customWidth="1"/>
    <col min="7902" max="7902" width="9" style="96" customWidth="1"/>
    <col min="7903" max="7905" width="8.75" style="96" customWidth="1"/>
    <col min="7906" max="7906" width="8" style="96" customWidth="1"/>
    <col min="7907" max="7907" width="8.125" style="96" customWidth="1"/>
    <col min="7908" max="7908" width="9.25" style="96" customWidth="1"/>
    <col min="7909" max="7909" width="8.625" style="96" customWidth="1"/>
    <col min="7910" max="7910" width="8.75" style="96" customWidth="1"/>
    <col min="7911" max="7911" width="14.125" style="96" customWidth="1"/>
    <col min="7912" max="7912" width="12.875" style="96" customWidth="1"/>
    <col min="7913" max="7913" width="10.125" style="96" customWidth="1"/>
    <col min="7914" max="7914" width="14" style="96" customWidth="1"/>
    <col min="7915" max="7934" width="2.25" style="96" customWidth="1"/>
    <col min="7935" max="8150" width="8.75" style="96"/>
    <col min="8151" max="8151" width="3.125" style="96" customWidth="1"/>
    <col min="8152" max="8152" width="24.875" style="96" customWidth="1"/>
    <col min="8153" max="8153" width="11.75" style="96" bestFit="1" customWidth="1"/>
    <col min="8154" max="8154" width="14.125" style="96" customWidth="1"/>
    <col min="8155" max="8155" width="10.25" style="96" customWidth="1"/>
    <col min="8156" max="8156" width="9.875" style="96" customWidth="1"/>
    <col min="8157" max="8157" width="10.25" style="96" customWidth="1"/>
    <col min="8158" max="8158" width="9" style="96" customWidth="1"/>
    <col min="8159" max="8161" width="8.75" style="96" customWidth="1"/>
    <col min="8162" max="8162" width="8" style="96" customWidth="1"/>
    <col min="8163" max="8163" width="8.125" style="96" customWidth="1"/>
    <col min="8164" max="8164" width="9.25" style="96" customWidth="1"/>
    <col min="8165" max="8165" width="8.625" style="96" customWidth="1"/>
    <col min="8166" max="8166" width="8.75" style="96" customWidth="1"/>
    <col min="8167" max="8167" width="14.125" style="96" customWidth="1"/>
    <col min="8168" max="8168" width="12.875" style="96" customWidth="1"/>
    <col min="8169" max="8169" width="10.125" style="96" customWidth="1"/>
    <col min="8170" max="8170" width="14" style="96" customWidth="1"/>
    <col min="8171" max="8190" width="2.25" style="96" customWidth="1"/>
    <col min="8191" max="8406" width="8.75" style="96"/>
    <col min="8407" max="8407" width="3.125" style="96" customWidth="1"/>
    <col min="8408" max="8408" width="24.875" style="96" customWidth="1"/>
    <col min="8409" max="8409" width="11.75" style="96" bestFit="1" customWidth="1"/>
    <col min="8410" max="8410" width="14.125" style="96" customWidth="1"/>
    <col min="8411" max="8411" width="10.25" style="96" customWidth="1"/>
    <col min="8412" max="8412" width="9.875" style="96" customWidth="1"/>
    <col min="8413" max="8413" width="10.25" style="96" customWidth="1"/>
    <col min="8414" max="8414" width="9" style="96" customWidth="1"/>
    <col min="8415" max="8417" width="8.75" style="96" customWidth="1"/>
    <col min="8418" max="8418" width="8" style="96" customWidth="1"/>
    <col min="8419" max="8419" width="8.125" style="96" customWidth="1"/>
    <col min="8420" max="8420" width="9.25" style="96" customWidth="1"/>
    <col min="8421" max="8421" width="8.625" style="96" customWidth="1"/>
    <col min="8422" max="8422" width="8.75" style="96" customWidth="1"/>
    <col min="8423" max="8423" width="14.125" style="96" customWidth="1"/>
    <col min="8424" max="8424" width="12.875" style="96" customWidth="1"/>
    <col min="8425" max="8425" width="10.125" style="96" customWidth="1"/>
    <col min="8426" max="8426" width="14" style="96" customWidth="1"/>
    <col min="8427" max="8446" width="2.25" style="96" customWidth="1"/>
    <col min="8447" max="8662" width="8.75" style="96"/>
    <col min="8663" max="8663" width="3.125" style="96" customWidth="1"/>
    <col min="8664" max="8664" width="24.875" style="96" customWidth="1"/>
    <col min="8665" max="8665" width="11.75" style="96" bestFit="1" customWidth="1"/>
    <col min="8666" max="8666" width="14.125" style="96" customWidth="1"/>
    <col min="8667" max="8667" width="10.25" style="96" customWidth="1"/>
    <col min="8668" max="8668" width="9.875" style="96" customWidth="1"/>
    <col min="8669" max="8669" width="10.25" style="96" customWidth="1"/>
    <col min="8670" max="8670" width="9" style="96" customWidth="1"/>
    <col min="8671" max="8673" width="8.75" style="96" customWidth="1"/>
    <col min="8674" max="8674" width="8" style="96" customWidth="1"/>
    <col min="8675" max="8675" width="8.125" style="96" customWidth="1"/>
    <col min="8676" max="8676" width="9.25" style="96" customWidth="1"/>
    <col min="8677" max="8677" width="8.625" style="96" customWidth="1"/>
    <col min="8678" max="8678" width="8.75" style="96" customWidth="1"/>
    <col min="8679" max="8679" width="14.125" style="96" customWidth="1"/>
    <col min="8680" max="8680" width="12.875" style="96" customWidth="1"/>
    <col min="8681" max="8681" width="10.125" style="96" customWidth="1"/>
    <col min="8682" max="8682" width="14" style="96" customWidth="1"/>
    <col min="8683" max="8702" width="2.25" style="96" customWidth="1"/>
    <col min="8703" max="8918" width="8.75" style="96"/>
    <col min="8919" max="8919" width="3.125" style="96" customWidth="1"/>
    <col min="8920" max="8920" width="24.875" style="96" customWidth="1"/>
    <col min="8921" max="8921" width="11.75" style="96" bestFit="1" customWidth="1"/>
    <col min="8922" max="8922" width="14.125" style="96" customWidth="1"/>
    <col min="8923" max="8923" width="10.25" style="96" customWidth="1"/>
    <col min="8924" max="8924" width="9.875" style="96" customWidth="1"/>
    <col min="8925" max="8925" width="10.25" style="96" customWidth="1"/>
    <col min="8926" max="8926" width="9" style="96" customWidth="1"/>
    <col min="8927" max="8929" width="8.75" style="96" customWidth="1"/>
    <col min="8930" max="8930" width="8" style="96" customWidth="1"/>
    <col min="8931" max="8931" width="8.125" style="96" customWidth="1"/>
    <col min="8932" max="8932" width="9.25" style="96" customWidth="1"/>
    <col min="8933" max="8933" width="8.625" style="96" customWidth="1"/>
    <col min="8934" max="8934" width="8.75" style="96" customWidth="1"/>
    <col min="8935" max="8935" width="14.125" style="96" customWidth="1"/>
    <col min="8936" max="8936" width="12.875" style="96" customWidth="1"/>
    <col min="8937" max="8937" width="10.125" style="96" customWidth="1"/>
    <col min="8938" max="8938" width="14" style="96" customWidth="1"/>
    <col min="8939" max="8958" width="2.25" style="96" customWidth="1"/>
    <col min="8959" max="9174" width="8.75" style="96"/>
    <col min="9175" max="9175" width="3.125" style="96" customWidth="1"/>
    <col min="9176" max="9176" width="24.875" style="96" customWidth="1"/>
    <col min="9177" max="9177" width="11.75" style="96" bestFit="1" customWidth="1"/>
    <col min="9178" max="9178" width="14.125" style="96" customWidth="1"/>
    <col min="9179" max="9179" width="10.25" style="96" customWidth="1"/>
    <col min="9180" max="9180" width="9.875" style="96" customWidth="1"/>
    <col min="9181" max="9181" width="10.25" style="96" customWidth="1"/>
    <col min="9182" max="9182" width="9" style="96" customWidth="1"/>
    <col min="9183" max="9185" width="8.75" style="96" customWidth="1"/>
    <col min="9186" max="9186" width="8" style="96" customWidth="1"/>
    <col min="9187" max="9187" width="8.125" style="96" customWidth="1"/>
    <col min="9188" max="9188" width="9.25" style="96" customWidth="1"/>
    <col min="9189" max="9189" width="8.625" style="96" customWidth="1"/>
    <col min="9190" max="9190" width="8.75" style="96" customWidth="1"/>
    <col min="9191" max="9191" width="14.125" style="96" customWidth="1"/>
    <col min="9192" max="9192" width="12.875" style="96" customWidth="1"/>
    <col min="9193" max="9193" width="10.125" style="96" customWidth="1"/>
    <col min="9194" max="9194" width="14" style="96" customWidth="1"/>
    <col min="9195" max="9214" width="2.25" style="96" customWidth="1"/>
    <col min="9215" max="9430" width="8.75" style="96"/>
    <col min="9431" max="9431" width="3.125" style="96" customWidth="1"/>
    <col min="9432" max="9432" width="24.875" style="96" customWidth="1"/>
    <col min="9433" max="9433" width="11.75" style="96" bestFit="1" customWidth="1"/>
    <col min="9434" max="9434" width="14.125" style="96" customWidth="1"/>
    <col min="9435" max="9435" width="10.25" style="96" customWidth="1"/>
    <col min="9436" max="9436" width="9.875" style="96" customWidth="1"/>
    <col min="9437" max="9437" width="10.25" style="96" customWidth="1"/>
    <col min="9438" max="9438" width="9" style="96" customWidth="1"/>
    <col min="9439" max="9441" width="8.75" style="96" customWidth="1"/>
    <col min="9442" max="9442" width="8" style="96" customWidth="1"/>
    <col min="9443" max="9443" width="8.125" style="96" customWidth="1"/>
    <col min="9444" max="9444" width="9.25" style="96" customWidth="1"/>
    <col min="9445" max="9445" width="8.625" style="96" customWidth="1"/>
    <col min="9446" max="9446" width="8.75" style="96" customWidth="1"/>
    <col min="9447" max="9447" width="14.125" style="96" customWidth="1"/>
    <col min="9448" max="9448" width="12.875" style="96" customWidth="1"/>
    <col min="9449" max="9449" width="10.125" style="96" customWidth="1"/>
    <col min="9450" max="9450" width="14" style="96" customWidth="1"/>
    <col min="9451" max="9470" width="2.25" style="96" customWidth="1"/>
    <col min="9471" max="9686" width="8.75" style="96"/>
    <col min="9687" max="9687" width="3.125" style="96" customWidth="1"/>
    <col min="9688" max="9688" width="24.875" style="96" customWidth="1"/>
    <col min="9689" max="9689" width="11.75" style="96" bestFit="1" customWidth="1"/>
    <col min="9690" max="9690" width="14.125" style="96" customWidth="1"/>
    <col min="9691" max="9691" width="10.25" style="96" customWidth="1"/>
    <col min="9692" max="9692" width="9.875" style="96" customWidth="1"/>
    <col min="9693" max="9693" width="10.25" style="96" customWidth="1"/>
    <col min="9694" max="9694" width="9" style="96" customWidth="1"/>
    <col min="9695" max="9697" width="8.75" style="96" customWidth="1"/>
    <col min="9698" max="9698" width="8" style="96" customWidth="1"/>
    <col min="9699" max="9699" width="8.125" style="96" customWidth="1"/>
    <col min="9700" max="9700" width="9.25" style="96" customWidth="1"/>
    <col min="9701" max="9701" width="8.625" style="96" customWidth="1"/>
    <col min="9702" max="9702" width="8.75" style="96" customWidth="1"/>
    <col min="9703" max="9703" width="14.125" style="96" customWidth="1"/>
    <col min="9704" max="9704" width="12.875" style="96" customWidth="1"/>
    <col min="9705" max="9705" width="10.125" style="96" customWidth="1"/>
    <col min="9706" max="9706" width="14" style="96" customWidth="1"/>
    <col min="9707" max="9726" width="2.25" style="96" customWidth="1"/>
    <col min="9727" max="9942" width="8.75" style="96"/>
    <col min="9943" max="9943" width="3.125" style="96" customWidth="1"/>
    <col min="9944" max="9944" width="24.875" style="96" customWidth="1"/>
    <col min="9945" max="9945" width="11.75" style="96" bestFit="1" customWidth="1"/>
    <col min="9946" max="9946" width="14.125" style="96" customWidth="1"/>
    <col min="9947" max="9947" width="10.25" style="96" customWidth="1"/>
    <col min="9948" max="9948" width="9.875" style="96" customWidth="1"/>
    <col min="9949" max="9949" width="10.25" style="96" customWidth="1"/>
    <col min="9950" max="9950" width="9" style="96" customWidth="1"/>
    <col min="9951" max="9953" width="8.75" style="96" customWidth="1"/>
    <col min="9954" max="9954" width="8" style="96" customWidth="1"/>
    <col min="9955" max="9955" width="8.125" style="96" customWidth="1"/>
    <col min="9956" max="9956" width="9.25" style="96" customWidth="1"/>
    <col min="9957" max="9957" width="8.625" style="96" customWidth="1"/>
    <col min="9958" max="9958" width="8.75" style="96" customWidth="1"/>
    <col min="9959" max="9959" width="14.125" style="96" customWidth="1"/>
    <col min="9960" max="9960" width="12.875" style="96" customWidth="1"/>
    <col min="9961" max="9961" width="10.125" style="96" customWidth="1"/>
    <col min="9962" max="9962" width="14" style="96" customWidth="1"/>
    <col min="9963" max="9982" width="2.25" style="96" customWidth="1"/>
    <col min="9983" max="10198" width="8.75" style="96"/>
    <col min="10199" max="10199" width="3.125" style="96" customWidth="1"/>
    <col min="10200" max="10200" width="24.875" style="96" customWidth="1"/>
    <col min="10201" max="10201" width="11.75" style="96" bestFit="1" customWidth="1"/>
    <col min="10202" max="10202" width="14.125" style="96" customWidth="1"/>
    <col min="10203" max="10203" width="10.25" style="96" customWidth="1"/>
    <col min="10204" max="10204" width="9.875" style="96" customWidth="1"/>
    <col min="10205" max="10205" width="10.25" style="96" customWidth="1"/>
    <col min="10206" max="10206" width="9" style="96" customWidth="1"/>
    <col min="10207" max="10209" width="8.75" style="96" customWidth="1"/>
    <col min="10210" max="10210" width="8" style="96" customWidth="1"/>
    <col min="10211" max="10211" width="8.125" style="96" customWidth="1"/>
    <col min="10212" max="10212" width="9.25" style="96" customWidth="1"/>
    <col min="10213" max="10213" width="8.625" style="96" customWidth="1"/>
    <col min="10214" max="10214" width="8.75" style="96" customWidth="1"/>
    <col min="10215" max="10215" width="14.125" style="96" customWidth="1"/>
    <col min="10216" max="10216" width="12.875" style="96" customWidth="1"/>
    <col min="10217" max="10217" width="10.125" style="96" customWidth="1"/>
    <col min="10218" max="10218" width="14" style="96" customWidth="1"/>
    <col min="10219" max="10238" width="2.25" style="96" customWidth="1"/>
    <col min="10239" max="10454" width="8.75" style="96"/>
    <col min="10455" max="10455" width="3.125" style="96" customWidth="1"/>
    <col min="10456" max="10456" width="24.875" style="96" customWidth="1"/>
    <col min="10457" max="10457" width="11.75" style="96" bestFit="1" customWidth="1"/>
    <col min="10458" max="10458" width="14.125" style="96" customWidth="1"/>
    <col min="10459" max="10459" width="10.25" style="96" customWidth="1"/>
    <col min="10460" max="10460" width="9.875" style="96" customWidth="1"/>
    <col min="10461" max="10461" width="10.25" style="96" customWidth="1"/>
    <col min="10462" max="10462" width="9" style="96" customWidth="1"/>
    <col min="10463" max="10465" width="8.75" style="96" customWidth="1"/>
    <col min="10466" max="10466" width="8" style="96" customWidth="1"/>
    <col min="10467" max="10467" width="8.125" style="96" customWidth="1"/>
    <col min="10468" max="10468" width="9.25" style="96" customWidth="1"/>
    <col min="10469" max="10469" width="8.625" style="96" customWidth="1"/>
    <col min="10470" max="10470" width="8.75" style="96" customWidth="1"/>
    <col min="10471" max="10471" width="14.125" style="96" customWidth="1"/>
    <col min="10472" max="10472" width="12.875" style="96" customWidth="1"/>
    <col min="10473" max="10473" width="10.125" style="96" customWidth="1"/>
    <col min="10474" max="10474" width="14" style="96" customWidth="1"/>
    <col min="10475" max="10494" width="2.25" style="96" customWidth="1"/>
    <col min="10495" max="10710" width="8.75" style="96"/>
    <col min="10711" max="10711" width="3.125" style="96" customWidth="1"/>
    <col min="10712" max="10712" width="24.875" style="96" customWidth="1"/>
    <col min="10713" max="10713" width="11.75" style="96" bestFit="1" customWidth="1"/>
    <col min="10714" max="10714" width="14.125" style="96" customWidth="1"/>
    <col min="10715" max="10715" width="10.25" style="96" customWidth="1"/>
    <col min="10716" max="10716" width="9.875" style="96" customWidth="1"/>
    <col min="10717" max="10717" width="10.25" style="96" customWidth="1"/>
    <col min="10718" max="10718" width="9" style="96" customWidth="1"/>
    <col min="10719" max="10721" width="8.75" style="96" customWidth="1"/>
    <col min="10722" max="10722" width="8" style="96" customWidth="1"/>
    <col min="10723" max="10723" width="8.125" style="96" customWidth="1"/>
    <col min="10724" max="10724" width="9.25" style="96" customWidth="1"/>
    <col min="10725" max="10725" width="8.625" style="96" customWidth="1"/>
    <col min="10726" max="10726" width="8.75" style="96" customWidth="1"/>
    <col min="10727" max="10727" width="14.125" style="96" customWidth="1"/>
    <col min="10728" max="10728" width="12.875" style="96" customWidth="1"/>
    <col min="10729" max="10729" width="10.125" style="96" customWidth="1"/>
    <col min="10730" max="10730" width="14" style="96" customWidth="1"/>
    <col min="10731" max="10750" width="2.25" style="96" customWidth="1"/>
    <col min="10751" max="10966" width="8.75" style="96"/>
    <col min="10967" max="10967" width="3.125" style="96" customWidth="1"/>
    <col min="10968" max="10968" width="24.875" style="96" customWidth="1"/>
    <col min="10969" max="10969" width="11.75" style="96" bestFit="1" customWidth="1"/>
    <col min="10970" max="10970" width="14.125" style="96" customWidth="1"/>
    <col min="10971" max="10971" width="10.25" style="96" customWidth="1"/>
    <col min="10972" max="10972" width="9.875" style="96" customWidth="1"/>
    <col min="10973" max="10973" width="10.25" style="96" customWidth="1"/>
    <col min="10974" max="10974" width="9" style="96" customWidth="1"/>
    <col min="10975" max="10977" width="8.75" style="96" customWidth="1"/>
    <col min="10978" max="10978" width="8" style="96" customWidth="1"/>
    <col min="10979" max="10979" width="8.125" style="96" customWidth="1"/>
    <col min="10980" max="10980" width="9.25" style="96" customWidth="1"/>
    <col min="10981" max="10981" width="8.625" style="96" customWidth="1"/>
    <col min="10982" max="10982" width="8.75" style="96" customWidth="1"/>
    <col min="10983" max="10983" width="14.125" style="96" customWidth="1"/>
    <col min="10984" max="10984" width="12.875" style="96" customWidth="1"/>
    <col min="10985" max="10985" width="10.125" style="96" customWidth="1"/>
    <col min="10986" max="10986" width="14" style="96" customWidth="1"/>
    <col min="10987" max="11006" width="2.25" style="96" customWidth="1"/>
    <col min="11007" max="11222" width="8.75" style="96"/>
    <col min="11223" max="11223" width="3.125" style="96" customWidth="1"/>
    <col min="11224" max="11224" width="24.875" style="96" customWidth="1"/>
    <col min="11225" max="11225" width="11.75" style="96" bestFit="1" customWidth="1"/>
    <col min="11226" max="11226" width="14.125" style="96" customWidth="1"/>
    <col min="11227" max="11227" width="10.25" style="96" customWidth="1"/>
    <col min="11228" max="11228" width="9.875" style="96" customWidth="1"/>
    <col min="11229" max="11229" width="10.25" style="96" customWidth="1"/>
    <col min="11230" max="11230" width="9" style="96" customWidth="1"/>
    <col min="11231" max="11233" width="8.75" style="96" customWidth="1"/>
    <col min="11234" max="11234" width="8" style="96" customWidth="1"/>
    <col min="11235" max="11235" width="8.125" style="96" customWidth="1"/>
    <col min="11236" max="11236" width="9.25" style="96" customWidth="1"/>
    <col min="11237" max="11237" width="8.625" style="96" customWidth="1"/>
    <col min="11238" max="11238" width="8.75" style="96" customWidth="1"/>
    <col min="11239" max="11239" width="14.125" style="96" customWidth="1"/>
    <col min="11240" max="11240" width="12.875" style="96" customWidth="1"/>
    <col min="11241" max="11241" width="10.125" style="96" customWidth="1"/>
    <col min="11242" max="11242" width="14" style="96" customWidth="1"/>
    <col min="11243" max="11262" width="2.25" style="96" customWidth="1"/>
    <col min="11263" max="11478" width="8.75" style="96"/>
    <col min="11479" max="11479" width="3.125" style="96" customWidth="1"/>
    <col min="11480" max="11480" width="24.875" style="96" customWidth="1"/>
    <col min="11481" max="11481" width="11.75" style="96" bestFit="1" customWidth="1"/>
    <col min="11482" max="11482" width="14.125" style="96" customWidth="1"/>
    <col min="11483" max="11483" width="10.25" style="96" customWidth="1"/>
    <col min="11484" max="11484" width="9.875" style="96" customWidth="1"/>
    <col min="11485" max="11485" width="10.25" style="96" customWidth="1"/>
    <col min="11486" max="11486" width="9" style="96" customWidth="1"/>
    <col min="11487" max="11489" width="8.75" style="96" customWidth="1"/>
    <col min="11490" max="11490" width="8" style="96" customWidth="1"/>
    <col min="11491" max="11491" width="8.125" style="96" customWidth="1"/>
    <col min="11492" max="11492" width="9.25" style="96" customWidth="1"/>
    <col min="11493" max="11493" width="8.625" style="96" customWidth="1"/>
    <col min="11494" max="11494" width="8.75" style="96" customWidth="1"/>
    <col min="11495" max="11495" width="14.125" style="96" customWidth="1"/>
    <col min="11496" max="11496" width="12.875" style="96" customWidth="1"/>
    <col min="11497" max="11497" width="10.125" style="96" customWidth="1"/>
    <col min="11498" max="11498" width="14" style="96" customWidth="1"/>
    <col min="11499" max="11518" width="2.25" style="96" customWidth="1"/>
    <col min="11519" max="11734" width="8.75" style="96"/>
    <col min="11735" max="11735" width="3.125" style="96" customWidth="1"/>
    <col min="11736" max="11736" width="24.875" style="96" customWidth="1"/>
    <col min="11737" max="11737" width="11.75" style="96" bestFit="1" customWidth="1"/>
    <col min="11738" max="11738" width="14.125" style="96" customWidth="1"/>
    <col min="11739" max="11739" width="10.25" style="96" customWidth="1"/>
    <col min="11740" max="11740" width="9.875" style="96" customWidth="1"/>
    <col min="11741" max="11741" width="10.25" style="96" customWidth="1"/>
    <col min="11742" max="11742" width="9" style="96" customWidth="1"/>
    <col min="11743" max="11745" width="8.75" style="96" customWidth="1"/>
    <col min="11746" max="11746" width="8" style="96" customWidth="1"/>
    <col min="11747" max="11747" width="8.125" style="96" customWidth="1"/>
    <col min="11748" max="11748" width="9.25" style="96" customWidth="1"/>
    <col min="11749" max="11749" width="8.625" style="96" customWidth="1"/>
    <col min="11750" max="11750" width="8.75" style="96" customWidth="1"/>
    <col min="11751" max="11751" width="14.125" style="96" customWidth="1"/>
    <col min="11752" max="11752" width="12.875" style="96" customWidth="1"/>
    <col min="11753" max="11753" width="10.125" style="96" customWidth="1"/>
    <col min="11754" max="11754" width="14" style="96" customWidth="1"/>
    <col min="11755" max="11774" width="2.25" style="96" customWidth="1"/>
    <col min="11775" max="11990" width="8.75" style="96"/>
    <col min="11991" max="11991" width="3.125" style="96" customWidth="1"/>
    <col min="11992" max="11992" width="24.875" style="96" customWidth="1"/>
    <col min="11993" max="11993" width="11.75" style="96" bestFit="1" customWidth="1"/>
    <col min="11994" max="11994" width="14.125" style="96" customWidth="1"/>
    <col min="11995" max="11995" width="10.25" style="96" customWidth="1"/>
    <col min="11996" max="11996" width="9.875" style="96" customWidth="1"/>
    <col min="11997" max="11997" width="10.25" style="96" customWidth="1"/>
    <col min="11998" max="11998" width="9" style="96" customWidth="1"/>
    <col min="11999" max="12001" width="8.75" style="96" customWidth="1"/>
    <col min="12002" max="12002" width="8" style="96" customWidth="1"/>
    <col min="12003" max="12003" width="8.125" style="96" customWidth="1"/>
    <col min="12004" max="12004" width="9.25" style="96" customWidth="1"/>
    <col min="12005" max="12005" width="8.625" style="96" customWidth="1"/>
    <col min="12006" max="12006" width="8.75" style="96" customWidth="1"/>
    <col min="12007" max="12007" width="14.125" style="96" customWidth="1"/>
    <col min="12008" max="12008" width="12.875" style="96" customWidth="1"/>
    <col min="12009" max="12009" width="10.125" style="96" customWidth="1"/>
    <col min="12010" max="12010" width="14" style="96" customWidth="1"/>
    <col min="12011" max="12030" width="2.25" style="96" customWidth="1"/>
    <col min="12031" max="12246" width="8.75" style="96"/>
    <col min="12247" max="12247" width="3.125" style="96" customWidth="1"/>
    <col min="12248" max="12248" width="24.875" style="96" customWidth="1"/>
    <col min="12249" max="12249" width="11.75" style="96" bestFit="1" customWidth="1"/>
    <col min="12250" max="12250" width="14.125" style="96" customWidth="1"/>
    <col min="12251" max="12251" width="10.25" style="96" customWidth="1"/>
    <col min="12252" max="12252" width="9.875" style="96" customWidth="1"/>
    <col min="12253" max="12253" width="10.25" style="96" customWidth="1"/>
    <col min="12254" max="12254" width="9" style="96" customWidth="1"/>
    <col min="12255" max="12257" width="8.75" style="96" customWidth="1"/>
    <col min="12258" max="12258" width="8" style="96" customWidth="1"/>
    <col min="12259" max="12259" width="8.125" style="96" customWidth="1"/>
    <col min="12260" max="12260" width="9.25" style="96" customWidth="1"/>
    <col min="12261" max="12261" width="8.625" style="96" customWidth="1"/>
    <col min="12262" max="12262" width="8.75" style="96" customWidth="1"/>
    <col min="12263" max="12263" width="14.125" style="96" customWidth="1"/>
    <col min="12264" max="12264" width="12.875" style="96" customWidth="1"/>
    <col min="12265" max="12265" width="10.125" style="96" customWidth="1"/>
    <col min="12266" max="12266" width="14" style="96" customWidth="1"/>
    <col min="12267" max="12286" width="2.25" style="96" customWidth="1"/>
    <col min="12287" max="12502" width="8.75" style="96"/>
    <col min="12503" max="12503" width="3.125" style="96" customWidth="1"/>
    <col min="12504" max="12504" width="24.875" style="96" customWidth="1"/>
    <col min="12505" max="12505" width="11.75" style="96" bestFit="1" customWidth="1"/>
    <col min="12506" max="12506" width="14.125" style="96" customWidth="1"/>
    <col min="12507" max="12507" width="10.25" style="96" customWidth="1"/>
    <col min="12508" max="12508" width="9.875" style="96" customWidth="1"/>
    <col min="12509" max="12509" width="10.25" style="96" customWidth="1"/>
    <col min="12510" max="12510" width="9" style="96" customWidth="1"/>
    <col min="12511" max="12513" width="8.75" style="96" customWidth="1"/>
    <col min="12514" max="12514" width="8" style="96" customWidth="1"/>
    <col min="12515" max="12515" width="8.125" style="96" customWidth="1"/>
    <col min="12516" max="12516" width="9.25" style="96" customWidth="1"/>
    <col min="12517" max="12517" width="8.625" style="96" customWidth="1"/>
    <col min="12518" max="12518" width="8.75" style="96" customWidth="1"/>
    <col min="12519" max="12519" width="14.125" style="96" customWidth="1"/>
    <col min="12520" max="12520" width="12.875" style="96" customWidth="1"/>
    <col min="12521" max="12521" width="10.125" style="96" customWidth="1"/>
    <col min="12522" max="12522" width="14" style="96" customWidth="1"/>
    <col min="12523" max="12542" width="2.25" style="96" customWidth="1"/>
    <col min="12543" max="12758" width="8.75" style="96"/>
    <col min="12759" max="12759" width="3.125" style="96" customWidth="1"/>
    <col min="12760" max="12760" width="24.875" style="96" customWidth="1"/>
    <col min="12761" max="12761" width="11.75" style="96" bestFit="1" customWidth="1"/>
    <col min="12762" max="12762" width="14.125" style="96" customWidth="1"/>
    <col min="12763" max="12763" width="10.25" style="96" customWidth="1"/>
    <col min="12764" max="12764" width="9.875" style="96" customWidth="1"/>
    <col min="12765" max="12765" width="10.25" style="96" customWidth="1"/>
    <col min="12766" max="12766" width="9" style="96" customWidth="1"/>
    <col min="12767" max="12769" width="8.75" style="96" customWidth="1"/>
    <col min="12770" max="12770" width="8" style="96" customWidth="1"/>
    <col min="12771" max="12771" width="8.125" style="96" customWidth="1"/>
    <col min="12772" max="12772" width="9.25" style="96" customWidth="1"/>
    <col min="12773" max="12773" width="8.625" style="96" customWidth="1"/>
    <col min="12774" max="12774" width="8.75" style="96" customWidth="1"/>
    <col min="12775" max="12775" width="14.125" style="96" customWidth="1"/>
    <col min="12776" max="12776" width="12.875" style="96" customWidth="1"/>
    <col min="12777" max="12777" width="10.125" style="96" customWidth="1"/>
    <col min="12778" max="12778" width="14" style="96" customWidth="1"/>
    <col min="12779" max="12798" width="2.25" style="96" customWidth="1"/>
    <col min="12799" max="13014" width="8.75" style="96"/>
    <col min="13015" max="13015" width="3.125" style="96" customWidth="1"/>
    <col min="13016" max="13016" width="24.875" style="96" customWidth="1"/>
    <col min="13017" max="13017" width="11.75" style="96" bestFit="1" customWidth="1"/>
    <col min="13018" max="13018" width="14.125" style="96" customWidth="1"/>
    <col min="13019" max="13019" width="10.25" style="96" customWidth="1"/>
    <col min="13020" max="13020" width="9.875" style="96" customWidth="1"/>
    <col min="13021" max="13021" width="10.25" style="96" customWidth="1"/>
    <col min="13022" max="13022" width="9" style="96" customWidth="1"/>
    <col min="13023" max="13025" width="8.75" style="96" customWidth="1"/>
    <col min="13026" max="13026" width="8" style="96" customWidth="1"/>
    <col min="13027" max="13027" width="8.125" style="96" customWidth="1"/>
    <col min="13028" max="13028" width="9.25" style="96" customWidth="1"/>
    <col min="13029" max="13029" width="8.625" style="96" customWidth="1"/>
    <col min="13030" max="13030" width="8.75" style="96" customWidth="1"/>
    <col min="13031" max="13031" width="14.125" style="96" customWidth="1"/>
    <col min="13032" max="13032" width="12.875" style="96" customWidth="1"/>
    <col min="13033" max="13033" width="10.125" style="96" customWidth="1"/>
    <col min="13034" max="13034" width="14" style="96" customWidth="1"/>
    <col min="13035" max="13054" width="2.25" style="96" customWidth="1"/>
    <col min="13055" max="13270" width="8.75" style="96"/>
    <col min="13271" max="13271" width="3.125" style="96" customWidth="1"/>
    <col min="13272" max="13272" width="24.875" style="96" customWidth="1"/>
    <col min="13273" max="13273" width="11.75" style="96" bestFit="1" customWidth="1"/>
    <col min="13274" max="13274" width="14.125" style="96" customWidth="1"/>
    <col min="13275" max="13275" width="10.25" style="96" customWidth="1"/>
    <col min="13276" max="13276" width="9.875" style="96" customWidth="1"/>
    <col min="13277" max="13277" width="10.25" style="96" customWidth="1"/>
    <col min="13278" max="13278" width="9" style="96" customWidth="1"/>
    <col min="13279" max="13281" width="8.75" style="96" customWidth="1"/>
    <col min="13282" max="13282" width="8" style="96" customWidth="1"/>
    <col min="13283" max="13283" width="8.125" style="96" customWidth="1"/>
    <col min="13284" max="13284" width="9.25" style="96" customWidth="1"/>
    <col min="13285" max="13285" width="8.625" style="96" customWidth="1"/>
    <col min="13286" max="13286" width="8.75" style="96" customWidth="1"/>
    <col min="13287" max="13287" width="14.125" style="96" customWidth="1"/>
    <col min="13288" max="13288" width="12.875" style="96" customWidth="1"/>
    <col min="13289" max="13289" width="10.125" style="96" customWidth="1"/>
    <col min="13290" max="13290" width="14" style="96" customWidth="1"/>
    <col min="13291" max="13310" width="2.25" style="96" customWidth="1"/>
    <col min="13311" max="13526" width="8.75" style="96"/>
    <col min="13527" max="13527" width="3.125" style="96" customWidth="1"/>
    <col min="13528" max="13528" width="24.875" style="96" customWidth="1"/>
    <col min="13529" max="13529" width="11.75" style="96" bestFit="1" customWidth="1"/>
    <col min="13530" max="13530" width="14.125" style="96" customWidth="1"/>
    <col min="13531" max="13531" width="10.25" style="96" customWidth="1"/>
    <col min="13532" max="13532" width="9.875" style="96" customWidth="1"/>
    <col min="13533" max="13533" width="10.25" style="96" customWidth="1"/>
    <col min="13534" max="13534" width="9" style="96" customWidth="1"/>
    <col min="13535" max="13537" width="8.75" style="96" customWidth="1"/>
    <col min="13538" max="13538" width="8" style="96" customWidth="1"/>
    <col min="13539" max="13539" width="8.125" style="96" customWidth="1"/>
    <col min="13540" max="13540" width="9.25" style="96" customWidth="1"/>
    <col min="13541" max="13541" width="8.625" style="96" customWidth="1"/>
    <col min="13542" max="13542" width="8.75" style="96" customWidth="1"/>
    <col min="13543" max="13543" width="14.125" style="96" customWidth="1"/>
    <col min="13544" max="13544" width="12.875" style="96" customWidth="1"/>
    <col min="13545" max="13545" width="10.125" style="96" customWidth="1"/>
    <col min="13546" max="13546" width="14" style="96" customWidth="1"/>
    <col min="13547" max="13566" width="2.25" style="96" customWidth="1"/>
    <col min="13567" max="13782" width="8.75" style="96"/>
    <col min="13783" max="13783" width="3.125" style="96" customWidth="1"/>
    <col min="13784" max="13784" width="24.875" style="96" customWidth="1"/>
    <col min="13785" max="13785" width="11.75" style="96" bestFit="1" customWidth="1"/>
    <col min="13786" max="13786" width="14.125" style="96" customWidth="1"/>
    <col min="13787" max="13787" width="10.25" style="96" customWidth="1"/>
    <col min="13788" max="13788" width="9.875" style="96" customWidth="1"/>
    <col min="13789" max="13789" width="10.25" style="96" customWidth="1"/>
    <col min="13790" max="13790" width="9" style="96" customWidth="1"/>
    <col min="13791" max="13793" width="8.75" style="96" customWidth="1"/>
    <col min="13794" max="13794" width="8" style="96" customWidth="1"/>
    <col min="13795" max="13795" width="8.125" style="96" customWidth="1"/>
    <col min="13796" max="13796" width="9.25" style="96" customWidth="1"/>
    <col min="13797" max="13797" width="8.625" style="96" customWidth="1"/>
    <col min="13798" max="13798" width="8.75" style="96" customWidth="1"/>
    <col min="13799" max="13799" width="14.125" style="96" customWidth="1"/>
    <col min="13800" max="13800" width="12.875" style="96" customWidth="1"/>
    <col min="13801" max="13801" width="10.125" style="96" customWidth="1"/>
    <col min="13802" max="13802" width="14" style="96" customWidth="1"/>
    <col min="13803" max="13822" width="2.25" style="96" customWidth="1"/>
    <col min="13823" max="14038" width="8.75" style="96"/>
    <col min="14039" max="14039" width="3.125" style="96" customWidth="1"/>
    <col min="14040" max="14040" width="24.875" style="96" customWidth="1"/>
    <col min="14041" max="14041" width="11.75" style="96" bestFit="1" customWidth="1"/>
    <col min="14042" max="14042" width="14.125" style="96" customWidth="1"/>
    <col min="14043" max="14043" width="10.25" style="96" customWidth="1"/>
    <col min="14044" max="14044" width="9.875" style="96" customWidth="1"/>
    <col min="14045" max="14045" width="10.25" style="96" customWidth="1"/>
    <col min="14046" max="14046" width="9" style="96" customWidth="1"/>
    <col min="14047" max="14049" width="8.75" style="96" customWidth="1"/>
    <col min="14050" max="14050" width="8" style="96" customWidth="1"/>
    <col min="14051" max="14051" width="8.125" style="96" customWidth="1"/>
    <col min="14052" max="14052" width="9.25" style="96" customWidth="1"/>
    <col min="14053" max="14053" width="8.625" style="96" customWidth="1"/>
    <col min="14054" max="14054" width="8.75" style="96" customWidth="1"/>
    <col min="14055" max="14055" width="14.125" style="96" customWidth="1"/>
    <col min="14056" max="14056" width="12.875" style="96" customWidth="1"/>
    <col min="14057" max="14057" width="10.125" style="96" customWidth="1"/>
    <col min="14058" max="14058" width="14" style="96" customWidth="1"/>
    <col min="14059" max="14078" width="2.25" style="96" customWidth="1"/>
    <col min="14079" max="14294" width="8.75" style="96"/>
    <col min="14295" max="14295" width="3.125" style="96" customWidth="1"/>
    <col min="14296" max="14296" width="24.875" style="96" customWidth="1"/>
    <col min="14297" max="14297" width="11.75" style="96" bestFit="1" customWidth="1"/>
    <col min="14298" max="14298" width="14.125" style="96" customWidth="1"/>
    <col min="14299" max="14299" width="10.25" style="96" customWidth="1"/>
    <col min="14300" max="14300" width="9.875" style="96" customWidth="1"/>
    <col min="14301" max="14301" width="10.25" style="96" customWidth="1"/>
    <col min="14302" max="14302" width="9" style="96" customWidth="1"/>
    <col min="14303" max="14305" width="8.75" style="96" customWidth="1"/>
    <col min="14306" max="14306" width="8" style="96" customWidth="1"/>
    <col min="14307" max="14307" width="8.125" style="96" customWidth="1"/>
    <col min="14308" max="14308" width="9.25" style="96" customWidth="1"/>
    <col min="14309" max="14309" width="8.625" style="96" customWidth="1"/>
    <col min="14310" max="14310" width="8.75" style="96" customWidth="1"/>
    <col min="14311" max="14311" width="14.125" style="96" customWidth="1"/>
    <col min="14312" max="14312" width="12.875" style="96" customWidth="1"/>
    <col min="14313" max="14313" width="10.125" style="96" customWidth="1"/>
    <col min="14314" max="14314" width="14" style="96" customWidth="1"/>
    <col min="14315" max="14334" width="2.25" style="96" customWidth="1"/>
    <col min="14335" max="14550" width="8.75" style="96"/>
    <col min="14551" max="14551" width="3.125" style="96" customWidth="1"/>
    <col min="14552" max="14552" width="24.875" style="96" customWidth="1"/>
    <col min="14553" max="14553" width="11.75" style="96" bestFit="1" customWidth="1"/>
    <col min="14554" max="14554" width="14.125" style="96" customWidth="1"/>
    <col min="14555" max="14555" width="10.25" style="96" customWidth="1"/>
    <col min="14556" max="14556" width="9.875" style="96" customWidth="1"/>
    <col min="14557" max="14557" width="10.25" style="96" customWidth="1"/>
    <col min="14558" max="14558" width="9" style="96" customWidth="1"/>
    <col min="14559" max="14561" width="8.75" style="96" customWidth="1"/>
    <col min="14562" max="14562" width="8" style="96" customWidth="1"/>
    <col min="14563" max="14563" width="8.125" style="96" customWidth="1"/>
    <col min="14564" max="14564" width="9.25" style="96" customWidth="1"/>
    <col min="14565" max="14565" width="8.625" style="96" customWidth="1"/>
    <col min="14566" max="14566" width="8.75" style="96" customWidth="1"/>
    <col min="14567" max="14567" width="14.125" style="96" customWidth="1"/>
    <col min="14568" max="14568" width="12.875" style="96" customWidth="1"/>
    <col min="14569" max="14569" width="10.125" style="96" customWidth="1"/>
    <col min="14570" max="14570" width="14" style="96" customWidth="1"/>
    <col min="14571" max="14590" width="2.25" style="96" customWidth="1"/>
    <col min="14591" max="14806" width="8.75" style="96"/>
    <col min="14807" max="14807" width="3.125" style="96" customWidth="1"/>
    <col min="14808" max="14808" width="24.875" style="96" customWidth="1"/>
    <col min="14809" max="14809" width="11.75" style="96" bestFit="1" customWidth="1"/>
    <col min="14810" max="14810" width="14.125" style="96" customWidth="1"/>
    <col min="14811" max="14811" width="10.25" style="96" customWidth="1"/>
    <col min="14812" max="14812" width="9.875" style="96" customWidth="1"/>
    <col min="14813" max="14813" width="10.25" style="96" customWidth="1"/>
    <col min="14814" max="14814" width="9" style="96" customWidth="1"/>
    <col min="14815" max="14817" width="8.75" style="96" customWidth="1"/>
    <col min="14818" max="14818" width="8" style="96" customWidth="1"/>
    <col min="14819" max="14819" width="8.125" style="96" customWidth="1"/>
    <col min="14820" max="14820" width="9.25" style="96" customWidth="1"/>
    <col min="14821" max="14821" width="8.625" style="96" customWidth="1"/>
    <col min="14822" max="14822" width="8.75" style="96" customWidth="1"/>
    <col min="14823" max="14823" width="14.125" style="96" customWidth="1"/>
    <col min="14824" max="14824" width="12.875" style="96" customWidth="1"/>
    <col min="14825" max="14825" width="10.125" style="96" customWidth="1"/>
    <col min="14826" max="14826" width="14" style="96" customWidth="1"/>
    <col min="14827" max="14846" width="2.25" style="96" customWidth="1"/>
    <col min="14847" max="15062" width="8.75" style="96"/>
    <col min="15063" max="15063" width="3.125" style="96" customWidth="1"/>
    <col min="15064" max="15064" width="24.875" style="96" customWidth="1"/>
    <col min="15065" max="15065" width="11.75" style="96" bestFit="1" customWidth="1"/>
    <col min="15066" max="15066" width="14.125" style="96" customWidth="1"/>
    <col min="15067" max="15067" width="10.25" style="96" customWidth="1"/>
    <col min="15068" max="15068" width="9.875" style="96" customWidth="1"/>
    <col min="15069" max="15069" width="10.25" style="96" customWidth="1"/>
    <col min="15070" max="15070" width="9" style="96" customWidth="1"/>
    <col min="15071" max="15073" width="8.75" style="96" customWidth="1"/>
    <col min="15074" max="15074" width="8" style="96" customWidth="1"/>
    <col min="15075" max="15075" width="8.125" style="96" customWidth="1"/>
    <col min="15076" max="15076" width="9.25" style="96" customWidth="1"/>
    <col min="15077" max="15077" width="8.625" style="96" customWidth="1"/>
    <col min="15078" max="15078" width="8.75" style="96" customWidth="1"/>
    <col min="15079" max="15079" width="14.125" style="96" customWidth="1"/>
    <col min="15080" max="15080" width="12.875" style="96" customWidth="1"/>
    <col min="15081" max="15081" width="10.125" style="96" customWidth="1"/>
    <col min="15082" max="15082" width="14" style="96" customWidth="1"/>
    <col min="15083" max="15102" width="2.25" style="96" customWidth="1"/>
    <col min="15103" max="15318" width="8.75" style="96"/>
    <col min="15319" max="15319" width="3.125" style="96" customWidth="1"/>
    <col min="15320" max="15320" width="24.875" style="96" customWidth="1"/>
    <col min="15321" max="15321" width="11.75" style="96" bestFit="1" customWidth="1"/>
    <col min="15322" max="15322" width="14.125" style="96" customWidth="1"/>
    <col min="15323" max="15323" width="10.25" style="96" customWidth="1"/>
    <col min="15324" max="15324" width="9.875" style="96" customWidth="1"/>
    <col min="15325" max="15325" width="10.25" style="96" customWidth="1"/>
    <col min="15326" max="15326" width="9" style="96" customWidth="1"/>
    <col min="15327" max="15329" width="8.75" style="96" customWidth="1"/>
    <col min="15330" max="15330" width="8" style="96" customWidth="1"/>
    <col min="15331" max="15331" width="8.125" style="96" customWidth="1"/>
    <col min="15332" max="15332" width="9.25" style="96" customWidth="1"/>
    <col min="15333" max="15333" width="8.625" style="96" customWidth="1"/>
    <col min="15334" max="15334" width="8.75" style="96" customWidth="1"/>
    <col min="15335" max="15335" width="14.125" style="96" customWidth="1"/>
    <col min="15336" max="15336" width="12.875" style="96" customWidth="1"/>
    <col min="15337" max="15337" width="10.125" style="96" customWidth="1"/>
    <col min="15338" max="15338" width="14" style="96" customWidth="1"/>
    <col min="15339" max="15358" width="2.25" style="96" customWidth="1"/>
    <col min="15359" max="15574" width="8.75" style="96"/>
    <col min="15575" max="15575" width="3.125" style="96" customWidth="1"/>
    <col min="15576" max="15576" width="24.875" style="96" customWidth="1"/>
    <col min="15577" max="15577" width="11.75" style="96" bestFit="1" customWidth="1"/>
    <col min="15578" max="15578" width="14.125" style="96" customWidth="1"/>
    <col min="15579" max="15579" width="10.25" style="96" customWidth="1"/>
    <col min="15580" max="15580" width="9.875" style="96" customWidth="1"/>
    <col min="15581" max="15581" width="10.25" style="96" customWidth="1"/>
    <col min="15582" max="15582" width="9" style="96" customWidth="1"/>
    <col min="15583" max="15585" width="8.75" style="96" customWidth="1"/>
    <col min="15586" max="15586" width="8" style="96" customWidth="1"/>
    <col min="15587" max="15587" width="8.125" style="96" customWidth="1"/>
    <col min="15588" max="15588" width="9.25" style="96" customWidth="1"/>
    <col min="15589" max="15589" width="8.625" style="96" customWidth="1"/>
    <col min="15590" max="15590" width="8.75" style="96" customWidth="1"/>
    <col min="15591" max="15591" width="14.125" style="96" customWidth="1"/>
    <col min="15592" max="15592" width="12.875" style="96" customWidth="1"/>
    <col min="15593" max="15593" width="10.125" style="96" customWidth="1"/>
    <col min="15594" max="15594" width="14" style="96" customWidth="1"/>
    <col min="15595" max="15614" width="2.25" style="96" customWidth="1"/>
    <col min="15615" max="15830" width="8.75" style="96"/>
    <col min="15831" max="15831" width="3.125" style="96" customWidth="1"/>
    <col min="15832" max="15832" width="24.875" style="96" customWidth="1"/>
    <col min="15833" max="15833" width="11.75" style="96" bestFit="1" customWidth="1"/>
    <col min="15834" max="15834" width="14.125" style="96" customWidth="1"/>
    <col min="15835" max="15835" width="10.25" style="96" customWidth="1"/>
    <col min="15836" max="15836" width="9.875" style="96" customWidth="1"/>
    <col min="15837" max="15837" width="10.25" style="96" customWidth="1"/>
    <col min="15838" max="15838" width="9" style="96" customWidth="1"/>
    <col min="15839" max="15841" width="8.75" style="96" customWidth="1"/>
    <col min="15842" max="15842" width="8" style="96" customWidth="1"/>
    <col min="15843" max="15843" width="8.125" style="96" customWidth="1"/>
    <col min="15844" max="15844" width="9.25" style="96" customWidth="1"/>
    <col min="15845" max="15845" width="8.625" style="96" customWidth="1"/>
    <col min="15846" max="15846" width="8.75" style="96" customWidth="1"/>
    <col min="15847" max="15847" width="14.125" style="96" customWidth="1"/>
    <col min="15848" max="15848" width="12.875" style="96" customWidth="1"/>
    <col min="15849" max="15849" width="10.125" style="96" customWidth="1"/>
    <col min="15850" max="15850" width="14" style="96" customWidth="1"/>
    <col min="15851" max="15870" width="2.25" style="96" customWidth="1"/>
    <col min="15871" max="16086" width="8.75" style="96"/>
    <col min="16087" max="16087" width="3.125" style="96" customWidth="1"/>
    <col min="16088" max="16088" width="24.875" style="96" customWidth="1"/>
    <col min="16089" max="16089" width="11.75" style="96" bestFit="1" customWidth="1"/>
    <col min="16090" max="16090" width="14.125" style="96" customWidth="1"/>
    <col min="16091" max="16091" width="10.25" style="96" customWidth="1"/>
    <col min="16092" max="16092" width="9.875" style="96" customWidth="1"/>
    <col min="16093" max="16093" width="10.25" style="96" customWidth="1"/>
    <col min="16094" max="16094" width="9" style="96" customWidth="1"/>
    <col min="16095" max="16097" width="8.75" style="96" customWidth="1"/>
    <col min="16098" max="16098" width="8" style="96" customWidth="1"/>
    <col min="16099" max="16099" width="8.125" style="96" customWidth="1"/>
    <col min="16100" max="16100" width="9.25" style="96" customWidth="1"/>
    <col min="16101" max="16101" width="8.625" style="96" customWidth="1"/>
    <col min="16102" max="16102" width="8.75" style="96" customWidth="1"/>
    <col min="16103" max="16103" width="14.125" style="96" customWidth="1"/>
    <col min="16104" max="16104" width="12.875" style="96" customWidth="1"/>
    <col min="16105" max="16105" width="10.125" style="96" customWidth="1"/>
    <col min="16106" max="16106" width="14" style="96" customWidth="1"/>
    <col min="16107" max="16126" width="2.25" style="96" customWidth="1"/>
    <col min="16127" max="16384" width="8.75" style="96"/>
  </cols>
  <sheetData>
    <row r="1" spans="1:39" ht="11.4" hidden="1">
      <c r="A1" s="854"/>
      <c r="B1" s="854"/>
      <c r="C1" s="854"/>
      <c r="D1" s="854"/>
      <c r="E1" s="854"/>
      <c r="F1" s="854"/>
      <c r="G1" s="854"/>
      <c r="H1" s="854"/>
      <c r="I1" s="854"/>
      <c r="J1" s="854"/>
      <c r="K1" s="854"/>
      <c r="L1" s="854"/>
      <c r="M1" s="854"/>
      <c r="N1" s="854"/>
      <c r="O1" s="854">
        <v>2022</v>
      </c>
      <c r="P1" s="854">
        <v>2022</v>
      </c>
      <c r="Q1" s="854">
        <v>2022</v>
      </c>
      <c r="R1" s="854">
        <v>2023</v>
      </c>
      <c r="S1" s="781">
        <v>2024</v>
      </c>
      <c r="T1" s="781">
        <v>2025</v>
      </c>
      <c r="U1" s="781">
        <v>2026</v>
      </c>
      <c r="V1" s="781">
        <v>2027</v>
      </c>
      <c r="W1" s="781">
        <v>2028</v>
      </c>
      <c r="X1" s="781">
        <v>2029</v>
      </c>
      <c r="Y1" s="781">
        <v>2030</v>
      </c>
      <c r="Z1" s="781">
        <v>2031</v>
      </c>
      <c r="AA1" s="781">
        <v>2032</v>
      </c>
      <c r="AB1" s="781">
        <v>2033</v>
      </c>
      <c r="AC1" s="781">
        <v>2024</v>
      </c>
      <c r="AD1" s="781">
        <v>2025</v>
      </c>
      <c r="AE1" s="781">
        <v>2026</v>
      </c>
      <c r="AF1" s="781">
        <v>2027</v>
      </c>
      <c r="AG1" s="781">
        <v>2028</v>
      </c>
      <c r="AH1" s="781">
        <v>2029</v>
      </c>
      <c r="AI1" s="781">
        <v>2030</v>
      </c>
      <c r="AJ1" s="781">
        <v>2031</v>
      </c>
      <c r="AK1" s="781">
        <v>2032</v>
      </c>
      <c r="AL1" s="781">
        <v>2033</v>
      </c>
      <c r="AM1" s="854"/>
    </row>
    <row r="2" spans="1:39" hidden="1">
      <c r="A2" s="854"/>
      <c r="B2" s="854"/>
      <c r="C2" s="854"/>
      <c r="D2" s="854"/>
      <c r="E2" s="854"/>
      <c r="F2" s="854"/>
      <c r="G2" s="854"/>
      <c r="H2" s="854"/>
      <c r="I2" s="854"/>
      <c r="J2" s="854"/>
      <c r="K2" s="854"/>
      <c r="L2" s="854"/>
      <c r="M2" s="854"/>
      <c r="N2" s="854"/>
      <c r="O2" s="854" t="s">
        <v>268</v>
      </c>
      <c r="P2" s="854" t="s">
        <v>306</v>
      </c>
      <c r="Q2" s="854" t="s">
        <v>286</v>
      </c>
      <c r="R2" s="854" t="s">
        <v>268</v>
      </c>
      <c r="S2" s="854" t="s">
        <v>269</v>
      </c>
      <c r="T2" s="854" t="s">
        <v>269</v>
      </c>
      <c r="U2" s="854" t="s">
        <v>269</v>
      </c>
      <c r="V2" s="854" t="s">
        <v>269</v>
      </c>
      <c r="W2" s="854" t="s">
        <v>269</v>
      </c>
      <c r="X2" s="854" t="s">
        <v>269</v>
      </c>
      <c r="Y2" s="854" t="s">
        <v>269</v>
      </c>
      <c r="Z2" s="854" t="s">
        <v>269</v>
      </c>
      <c r="AA2" s="854" t="s">
        <v>269</v>
      </c>
      <c r="AB2" s="854" t="s">
        <v>269</v>
      </c>
      <c r="AC2" s="854" t="s">
        <v>268</v>
      </c>
      <c r="AD2" s="854" t="s">
        <v>268</v>
      </c>
      <c r="AE2" s="854" t="s">
        <v>268</v>
      </c>
      <c r="AF2" s="854" t="s">
        <v>268</v>
      </c>
      <c r="AG2" s="854" t="s">
        <v>268</v>
      </c>
      <c r="AH2" s="854" t="s">
        <v>268</v>
      </c>
      <c r="AI2" s="854" t="s">
        <v>268</v>
      </c>
      <c r="AJ2" s="854" t="s">
        <v>268</v>
      </c>
      <c r="AK2" s="854" t="s">
        <v>268</v>
      </c>
      <c r="AL2" s="854" t="s">
        <v>268</v>
      </c>
      <c r="AM2" s="854"/>
    </row>
    <row r="3" spans="1:39" ht="11.4" hidden="1">
      <c r="A3" s="854"/>
      <c r="B3" s="854"/>
      <c r="C3" s="854"/>
      <c r="D3" s="854"/>
      <c r="E3" s="854"/>
      <c r="F3" s="854"/>
      <c r="G3" s="854"/>
      <c r="H3" s="854"/>
      <c r="I3" s="854"/>
      <c r="J3" s="854"/>
      <c r="K3" s="854"/>
      <c r="L3" s="854"/>
      <c r="M3" s="854"/>
      <c r="N3" s="854"/>
      <c r="O3" s="854"/>
      <c r="P3" s="854"/>
      <c r="Q3" s="854"/>
      <c r="R3" s="854"/>
      <c r="S3" s="781"/>
      <c r="T3" s="781"/>
      <c r="U3" s="781"/>
      <c r="V3" s="781"/>
      <c r="W3" s="781"/>
      <c r="X3" s="781"/>
      <c r="Y3" s="781"/>
      <c r="Z3" s="781"/>
      <c r="AA3" s="781"/>
      <c r="AB3" s="781"/>
      <c r="AC3" s="781"/>
      <c r="AD3" s="781"/>
      <c r="AE3" s="781"/>
      <c r="AF3" s="781"/>
      <c r="AG3" s="781"/>
      <c r="AH3" s="781"/>
      <c r="AI3" s="781"/>
      <c r="AJ3" s="781"/>
      <c r="AK3" s="781"/>
      <c r="AL3" s="781"/>
      <c r="AM3" s="854"/>
    </row>
    <row r="4" spans="1:39" ht="11.4" hidden="1">
      <c r="A4" s="854"/>
      <c r="B4" s="854"/>
      <c r="C4" s="854"/>
      <c r="D4" s="854"/>
      <c r="E4" s="854"/>
      <c r="F4" s="854"/>
      <c r="G4" s="854"/>
      <c r="H4" s="854"/>
      <c r="I4" s="854"/>
      <c r="J4" s="854"/>
      <c r="K4" s="854"/>
      <c r="L4" s="854"/>
      <c r="M4" s="854"/>
      <c r="N4" s="854"/>
      <c r="O4" s="854"/>
      <c r="P4" s="854"/>
      <c r="Q4" s="854"/>
      <c r="R4" s="854"/>
      <c r="S4" s="781"/>
      <c r="T4" s="781"/>
      <c r="U4" s="781"/>
      <c r="V4" s="781"/>
      <c r="W4" s="781"/>
      <c r="X4" s="781"/>
      <c r="Y4" s="781"/>
      <c r="Z4" s="781"/>
      <c r="AA4" s="781"/>
      <c r="AB4" s="781"/>
      <c r="AC4" s="781"/>
      <c r="AD4" s="781"/>
      <c r="AE4" s="781"/>
      <c r="AF4" s="781"/>
      <c r="AG4" s="781"/>
      <c r="AH4" s="781"/>
      <c r="AI4" s="781"/>
      <c r="AJ4" s="781"/>
      <c r="AK4" s="781"/>
      <c r="AL4" s="781"/>
      <c r="AM4" s="854"/>
    </row>
    <row r="5" spans="1:39" ht="11.4" hidden="1">
      <c r="A5" s="854"/>
      <c r="B5" s="854"/>
      <c r="C5" s="854"/>
      <c r="D5" s="854"/>
      <c r="E5" s="854"/>
      <c r="F5" s="854"/>
      <c r="G5" s="854"/>
      <c r="H5" s="854"/>
      <c r="I5" s="854"/>
      <c r="J5" s="854"/>
      <c r="K5" s="854"/>
      <c r="L5" s="854"/>
      <c r="M5" s="854"/>
      <c r="N5" s="854"/>
      <c r="O5" s="854"/>
      <c r="P5" s="854"/>
      <c r="Q5" s="854"/>
      <c r="R5" s="854"/>
      <c r="S5" s="781"/>
      <c r="T5" s="781"/>
      <c r="U5" s="781"/>
      <c r="V5" s="781"/>
      <c r="W5" s="781"/>
      <c r="X5" s="781"/>
      <c r="Y5" s="781"/>
      <c r="Z5" s="781"/>
      <c r="AA5" s="781"/>
      <c r="AB5" s="781"/>
      <c r="AC5" s="781"/>
      <c r="AD5" s="781"/>
      <c r="AE5" s="781"/>
      <c r="AF5" s="781"/>
      <c r="AG5" s="781"/>
      <c r="AH5" s="781"/>
      <c r="AI5" s="781"/>
      <c r="AJ5" s="781"/>
      <c r="AK5" s="781"/>
      <c r="AL5" s="781"/>
      <c r="AM5" s="854"/>
    </row>
    <row r="6" spans="1:39" ht="11.4" hidden="1">
      <c r="A6" s="854"/>
      <c r="B6" s="854"/>
      <c r="C6" s="854"/>
      <c r="D6" s="854"/>
      <c r="E6" s="854"/>
      <c r="F6" s="854"/>
      <c r="G6" s="854"/>
      <c r="H6" s="854"/>
      <c r="I6" s="854"/>
      <c r="J6" s="854"/>
      <c r="K6" s="854"/>
      <c r="L6" s="854"/>
      <c r="M6" s="854"/>
      <c r="N6" s="854"/>
      <c r="O6" s="854"/>
      <c r="P6" s="854"/>
      <c r="Q6" s="854"/>
      <c r="R6" s="854"/>
      <c r="S6" s="781"/>
      <c r="T6" s="781"/>
      <c r="U6" s="781"/>
      <c r="V6" s="781"/>
      <c r="W6" s="781"/>
      <c r="X6" s="781"/>
      <c r="Y6" s="781"/>
      <c r="Z6" s="781"/>
      <c r="AA6" s="781"/>
      <c r="AB6" s="781"/>
      <c r="AC6" s="781"/>
      <c r="AD6" s="781"/>
      <c r="AE6" s="781"/>
      <c r="AF6" s="781"/>
      <c r="AG6" s="781"/>
      <c r="AH6" s="781"/>
      <c r="AI6" s="781"/>
      <c r="AJ6" s="781"/>
      <c r="AK6" s="781"/>
      <c r="AL6" s="781"/>
      <c r="AM6" s="854"/>
    </row>
    <row r="7" spans="1:39" ht="11.4" hidden="1">
      <c r="A7" s="854"/>
      <c r="B7" s="854"/>
      <c r="C7" s="854"/>
      <c r="D7" s="854"/>
      <c r="E7" s="854"/>
      <c r="F7" s="854"/>
      <c r="G7" s="854"/>
      <c r="H7" s="854"/>
      <c r="I7" s="854"/>
      <c r="J7" s="854"/>
      <c r="K7" s="854"/>
      <c r="L7" s="854"/>
      <c r="M7" s="854"/>
      <c r="N7" s="854"/>
      <c r="O7" s="854"/>
      <c r="P7" s="854"/>
      <c r="Q7" s="854"/>
      <c r="R7" s="854"/>
      <c r="S7" s="731" t="b">
        <v>1</v>
      </c>
      <c r="T7" s="731" t="b">
        <v>0</v>
      </c>
      <c r="U7" s="731" t="b">
        <v>0</v>
      </c>
      <c r="V7" s="731" t="b">
        <v>0</v>
      </c>
      <c r="W7" s="731" t="b">
        <v>0</v>
      </c>
      <c r="X7" s="731" t="b">
        <v>0</v>
      </c>
      <c r="Y7" s="731" t="b">
        <v>0</v>
      </c>
      <c r="Z7" s="731" t="b">
        <v>0</v>
      </c>
      <c r="AA7" s="731" t="b">
        <v>0</v>
      </c>
      <c r="AB7" s="731" t="b">
        <v>0</v>
      </c>
      <c r="AC7" s="731" t="b">
        <v>1</v>
      </c>
      <c r="AD7" s="731" t="b">
        <v>0</v>
      </c>
      <c r="AE7" s="731" t="b">
        <v>0</v>
      </c>
      <c r="AF7" s="731" t="b">
        <v>0</v>
      </c>
      <c r="AG7" s="731" t="b">
        <v>0</v>
      </c>
      <c r="AH7" s="731" t="b">
        <v>0</v>
      </c>
      <c r="AI7" s="731" t="b">
        <v>0</v>
      </c>
      <c r="AJ7" s="731" t="b">
        <v>0</v>
      </c>
      <c r="AK7" s="731" t="b">
        <v>0</v>
      </c>
      <c r="AL7" s="731" t="b">
        <v>0</v>
      </c>
      <c r="AM7" s="854"/>
    </row>
    <row r="8" spans="1:39" hidden="1">
      <c r="A8" s="854"/>
      <c r="B8" s="854"/>
      <c r="C8" s="854"/>
      <c r="D8" s="854"/>
      <c r="E8" s="854"/>
      <c r="F8" s="854"/>
      <c r="G8" s="854"/>
      <c r="H8" s="854"/>
      <c r="I8" s="854"/>
      <c r="J8" s="854"/>
      <c r="K8" s="854"/>
      <c r="L8" s="854"/>
      <c r="M8" s="854"/>
      <c r="N8" s="854"/>
      <c r="O8" s="854"/>
      <c r="P8" s="854"/>
      <c r="Q8" s="854"/>
      <c r="R8" s="854"/>
      <c r="S8" s="854"/>
      <c r="T8" s="854"/>
      <c r="U8" s="854"/>
      <c r="V8" s="854"/>
      <c r="W8" s="854"/>
      <c r="X8" s="854"/>
      <c r="Y8" s="854"/>
      <c r="Z8" s="854"/>
      <c r="AA8" s="854"/>
      <c r="AB8" s="854"/>
      <c r="AC8" s="854"/>
      <c r="AD8" s="854"/>
      <c r="AE8" s="854"/>
      <c r="AF8" s="854"/>
      <c r="AG8" s="854"/>
      <c r="AH8" s="854"/>
      <c r="AI8" s="854"/>
      <c r="AJ8" s="854"/>
      <c r="AK8" s="854"/>
      <c r="AL8" s="854"/>
      <c r="AM8" s="854"/>
    </row>
    <row r="9" spans="1:39" hidden="1">
      <c r="A9" s="854"/>
      <c r="B9" s="854"/>
      <c r="C9" s="854"/>
      <c r="D9" s="854"/>
      <c r="E9" s="854"/>
      <c r="F9" s="854"/>
      <c r="G9" s="854"/>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row>
    <row r="10" spans="1:39" hidden="1">
      <c r="A10" s="854"/>
      <c r="B10" s="854"/>
      <c r="C10" s="854"/>
      <c r="D10" s="854"/>
      <c r="E10" s="854"/>
      <c r="F10" s="854"/>
      <c r="G10" s="854"/>
      <c r="H10" s="854"/>
      <c r="I10" s="854"/>
      <c r="J10" s="854"/>
      <c r="K10" s="854"/>
      <c r="L10" s="854"/>
      <c r="M10" s="854"/>
      <c r="N10" s="854"/>
      <c r="O10" s="854"/>
      <c r="P10" s="854"/>
      <c r="Q10" s="854"/>
      <c r="R10" s="854"/>
      <c r="S10" s="854"/>
      <c r="T10" s="854"/>
      <c r="U10" s="854"/>
      <c r="V10" s="854"/>
      <c r="W10" s="854"/>
      <c r="X10" s="854"/>
      <c r="Y10" s="854"/>
      <c r="Z10" s="854"/>
      <c r="AA10" s="854"/>
      <c r="AB10" s="854"/>
      <c r="AC10" s="854"/>
      <c r="AD10" s="854"/>
      <c r="AE10" s="854"/>
      <c r="AF10" s="854"/>
      <c r="AG10" s="854"/>
      <c r="AH10" s="854"/>
      <c r="AI10" s="854"/>
      <c r="AJ10" s="854"/>
      <c r="AK10" s="854"/>
      <c r="AL10" s="854"/>
      <c r="AM10" s="854"/>
    </row>
    <row r="11" spans="1:39" ht="15" hidden="1" customHeight="1">
      <c r="A11" s="854"/>
      <c r="B11" s="854"/>
      <c r="C11" s="854"/>
      <c r="D11" s="854"/>
      <c r="E11" s="854"/>
      <c r="F11" s="854"/>
      <c r="G11" s="854"/>
      <c r="H11" s="854"/>
      <c r="I11" s="854"/>
      <c r="J11" s="854"/>
      <c r="K11" s="854"/>
      <c r="L11" s="854"/>
      <c r="M11" s="826"/>
      <c r="N11" s="854"/>
      <c r="O11" s="854"/>
      <c r="P11" s="854"/>
      <c r="Q11" s="854"/>
      <c r="R11" s="854"/>
      <c r="S11" s="854"/>
      <c r="T11" s="854"/>
      <c r="U11" s="854"/>
      <c r="V11" s="854"/>
      <c r="W11" s="854"/>
      <c r="X11" s="854"/>
      <c r="Y11" s="854"/>
      <c r="Z11" s="854"/>
      <c r="AA11" s="854"/>
      <c r="AB11" s="854"/>
      <c r="AC11" s="854"/>
      <c r="AD11" s="854"/>
      <c r="AE11" s="854"/>
      <c r="AF11" s="854"/>
      <c r="AG11" s="854"/>
      <c r="AH11" s="854"/>
      <c r="AI11" s="854"/>
      <c r="AJ11" s="854"/>
      <c r="AK11" s="854"/>
      <c r="AL11" s="854"/>
      <c r="AM11" s="854"/>
    </row>
    <row r="12" spans="1:39" ht="20.100000000000001" customHeight="1">
      <c r="A12" s="854"/>
      <c r="B12" s="854"/>
      <c r="C12" s="854"/>
      <c r="D12" s="854"/>
      <c r="E12" s="854"/>
      <c r="F12" s="854"/>
      <c r="G12" s="854"/>
      <c r="H12" s="854"/>
      <c r="I12" s="854"/>
      <c r="J12" s="854"/>
      <c r="K12" s="854"/>
      <c r="L12" s="417" t="s">
        <v>1248</v>
      </c>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4"/>
    </row>
    <row r="13" spans="1:39" ht="11.25" customHeight="1">
      <c r="A13" s="854"/>
      <c r="B13" s="854"/>
      <c r="C13" s="854"/>
      <c r="D13" s="854"/>
      <c r="E13" s="854"/>
      <c r="F13" s="854"/>
      <c r="G13" s="854"/>
      <c r="H13" s="854"/>
      <c r="I13" s="854"/>
      <c r="J13" s="854"/>
      <c r="K13" s="854"/>
      <c r="L13" s="855"/>
      <c r="M13" s="856"/>
      <c r="N13" s="856"/>
      <c r="O13" s="856"/>
      <c r="P13" s="856"/>
      <c r="Q13" s="856"/>
      <c r="R13" s="856"/>
      <c r="S13" s="856"/>
      <c r="T13" s="856"/>
      <c r="U13" s="856"/>
      <c r="V13" s="856"/>
      <c r="W13" s="856"/>
      <c r="X13" s="856"/>
      <c r="Y13" s="856"/>
      <c r="Z13" s="856"/>
      <c r="AA13" s="856"/>
      <c r="AB13" s="856"/>
      <c r="AC13" s="856"/>
      <c r="AD13" s="857"/>
      <c r="AE13" s="857"/>
      <c r="AF13" s="857"/>
      <c r="AG13" s="857"/>
      <c r="AH13" s="857"/>
      <c r="AI13" s="857"/>
      <c r="AJ13" s="857"/>
      <c r="AK13" s="857"/>
      <c r="AL13" s="857"/>
      <c r="AM13" s="854"/>
    </row>
    <row r="14" spans="1:39" ht="15" customHeight="1">
      <c r="A14" s="854"/>
      <c r="B14" s="854"/>
      <c r="C14" s="854"/>
      <c r="D14" s="854"/>
      <c r="E14" s="854"/>
      <c r="F14" s="854"/>
      <c r="G14" s="854"/>
      <c r="H14" s="854"/>
      <c r="I14" s="854"/>
      <c r="J14" s="854"/>
      <c r="K14" s="854"/>
      <c r="L14" s="1130" t="s">
        <v>356</v>
      </c>
      <c r="M14" s="1131" t="s">
        <v>212</v>
      </c>
      <c r="N14" s="1130" t="s">
        <v>135</v>
      </c>
      <c r="O14" s="782" t="s">
        <v>3010</v>
      </c>
      <c r="P14" s="782" t="s">
        <v>3010</v>
      </c>
      <c r="Q14" s="782" t="s">
        <v>3010</v>
      </c>
      <c r="R14" s="783" t="s">
        <v>3011</v>
      </c>
      <c r="S14" s="747" t="s">
        <v>3012</v>
      </c>
      <c r="T14" s="747" t="s">
        <v>3046</v>
      </c>
      <c r="U14" s="747" t="s">
        <v>3047</v>
      </c>
      <c r="V14" s="747" t="s">
        <v>3048</v>
      </c>
      <c r="W14" s="747" t="s">
        <v>3049</v>
      </c>
      <c r="X14" s="747" t="s">
        <v>3050</v>
      </c>
      <c r="Y14" s="747" t="s">
        <v>3051</v>
      </c>
      <c r="Z14" s="747" t="s">
        <v>3052</v>
      </c>
      <c r="AA14" s="747" t="s">
        <v>3053</v>
      </c>
      <c r="AB14" s="747" t="s">
        <v>3054</v>
      </c>
      <c r="AC14" s="747" t="s">
        <v>3012</v>
      </c>
      <c r="AD14" s="747" t="s">
        <v>3046</v>
      </c>
      <c r="AE14" s="747" t="s">
        <v>3047</v>
      </c>
      <c r="AF14" s="747" t="s">
        <v>3048</v>
      </c>
      <c r="AG14" s="747" t="s">
        <v>3049</v>
      </c>
      <c r="AH14" s="747" t="s">
        <v>3050</v>
      </c>
      <c r="AI14" s="747" t="s">
        <v>3051</v>
      </c>
      <c r="AJ14" s="747" t="s">
        <v>3052</v>
      </c>
      <c r="AK14" s="747" t="s">
        <v>3053</v>
      </c>
      <c r="AL14" s="747" t="s">
        <v>3054</v>
      </c>
      <c r="AM14" s="1112" t="s">
        <v>305</v>
      </c>
    </row>
    <row r="15" spans="1:39" ht="50.1" customHeight="1">
      <c r="A15" s="854"/>
      <c r="B15" s="854"/>
      <c r="C15" s="854"/>
      <c r="D15" s="854"/>
      <c r="E15" s="854"/>
      <c r="F15" s="854"/>
      <c r="G15" s="854"/>
      <c r="H15" s="854"/>
      <c r="I15" s="854"/>
      <c r="J15" s="854"/>
      <c r="K15" s="854"/>
      <c r="L15" s="1134"/>
      <c r="M15" s="1134"/>
      <c r="N15" s="1134"/>
      <c r="O15" s="747" t="s">
        <v>268</v>
      </c>
      <c r="P15" s="747" t="s">
        <v>306</v>
      </c>
      <c r="Q15" s="747" t="s">
        <v>286</v>
      </c>
      <c r="R15" s="747" t="s">
        <v>268</v>
      </c>
      <c r="S15" s="784" t="s">
        <v>269</v>
      </c>
      <c r="T15" s="784" t="s">
        <v>269</v>
      </c>
      <c r="U15" s="784" t="s">
        <v>269</v>
      </c>
      <c r="V15" s="784" t="s">
        <v>269</v>
      </c>
      <c r="W15" s="784" t="s">
        <v>269</v>
      </c>
      <c r="X15" s="784" t="s">
        <v>269</v>
      </c>
      <c r="Y15" s="784" t="s">
        <v>269</v>
      </c>
      <c r="Z15" s="784" t="s">
        <v>269</v>
      </c>
      <c r="AA15" s="784" t="s">
        <v>269</v>
      </c>
      <c r="AB15" s="784" t="s">
        <v>269</v>
      </c>
      <c r="AC15" s="784" t="s">
        <v>268</v>
      </c>
      <c r="AD15" s="784" t="s">
        <v>268</v>
      </c>
      <c r="AE15" s="784" t="s">
        <v>268</v>
      </c>
      <c r="AF15" s="784" t="s">
        <v>268</v>
      </c>
      <c r="AG15" s="784" t="s">
        <v>268</v>
      </c>
      <c r="AH15" s="784" t="s">
        <v>268</v>
      </c>
      <c r="AI15" s="784" t="s">
        <v>268</v>
      </c>
      <c r="AJ15" s="784" t="s">
        <v>268</v>
      </c>
      <c r="AK15" s="784" t="s">
        <v>268</v>
      </c>
      <c r="AL15" s="784" t="s">
        <v>268</v>
      </c>
      <c r="AM15" s="1134"/>
    </row>
    <row r="16" spans="1:39" ht="11.4">
      <c r="A16" s="788" t="s">
        <v>18</v>
      </c>
      <c r="B16" s="854" t="s">
        <v>1202</v>
      </c>
      <c r="C16" s="854"/>
      <c r="D16" s="854"/>
      <c r="E16" s="854"/>
      <c r="F16" s="854"/>
      <c r="G16" s="854"/>
      <c r="H16" s="854"/>
      <c r="I16" s="854"/>
      <c r="J16" s="854"/>
      <c r="K16" s="854"/>
      <c r="L16" s="828" t="s">
        <v>3005</v>
      </c>
      <c r="M16" s="708"/>
      <c r="N16" s="708"/>
      <c r="O16" s="858">
        <v>0</v>
      </c>
      <c r="P16" s="858">
        <v>0</v>
      </c>
      <c r="Q16" s="858">
        <v>0</v>
      </c>
      <c r="R16" s="858">
        <v>0</v>
      </c>
      <c r="S16" s="858">
        <v>0</v>
      </c>
      <c r="T16" s="858">
        <v>0</v>
      </c>
      <c r="U16" s="858">
        <v>0</v>
      </c>
      <c r="V16" s="858">
        <v>0</v>
      </c>
      <c r="W16" s="858">
        <v>0</v>
      </c>
      <c r="X16" s="858">
        <v>0</v>
      </c>
      <c r="Y16" s="858">
        <v>0</v>
      </c>
      <c r="Z16" s="858">
        <v>0</v>
      </c>
      <c r="AA16" s="858">
        <v>0</v>
      </c>
      <c r="AB16" s="858">
        <v>0</v>
      </c>
      <c r="AC16" s="858">
        <v>0</v>
      </c>
      <c r="AD16" s="858">
        <v>0</v>
      </c>
      <c r="AE16" s="858">
        <v>0</v>
      </c>
      <c r="AF16" s="858">
        <v>0</v>
      </c>
      <c r="AG16" s="858">
        <v>0</v>
      </c>
      <c r="AH16" s="858">
        <v>0</v>
      </c>
      <c r="AI16" s="858">
        <v>0</v>
      </c>
      <c r="AJ16" s="858">
        <v>0</v>
      </c>
      <c r="AK16" s="858">
        <v>0</v>
      </c>
      <c r="AL16" s="858">
        <v>0</v>
      </c>
      <c r="AM16" s="859"/>
    </row>
    <row r="17" spans="1:39" ht="11.4">
      <c r="A17" s="809">
        <v>1</v>
      </c>
      <c r="B17" s="854" t="s">
        <v>1406</v>
      </c>
      <c r="C17" s="854"/>
      <c r="D17" s="854"/>
      <c r="E17" s="854"/>
      <c r="F17" s="854"/>
      <c r="G17" s="854"/>
      <c r="H17" s="854"/>
      <c r="I17" s="854"/>
      <c r="J17" s="854"/>
      <c r="K17" s="854"/>
      <c r="L17" s="831">
        <v>1</v>
      </c>
      <c r="M17" s="860" t="s">
        <v>402</v>
      </c>
      <c r="N17" s="209" t="s">
        <v>352</v>
      </c>
      <c r="O17" s="832">
        <v>0</v>
      </c>
      <c r="P17" s="832">
        <v>0</v>
      </c>
      <c r="Q17" s="832">
        <v>0</v>
      </c>
      <c r="R17" s="832">
        <v>0</v>
      </c>
      <c r="S17" s="832">
        <v>0</v>
      </c>
      <c r="T17" s="861">
        <v>0</v>
      </c>
      <c r="U17" s="861">
        <v>0</v>
      </c>
      <c r="V17" s="861">
        <v>0</v>
      </c>
      <c r="W17" s="861">
        <v>0</v>
      </c>
      <c r="X17" s="861">
        <v>0</v>
      </c>
      <c r="Y17" s="861">
        <v>0</v>
      </c>
      <c r="Z17" s="861">
        <v>0</v>
      </c>
      <c r="AA17" s="861">
        <v>0</v>
      </c>
      <c r="AB17" s="861">
        <v>0</v>
      </c>
      <c r="AC17" s="832">
        <v>0</v>
      </c>
      <c r="AD17" s="861">
        <v>0</v>
      </c>
      <c r="AE17" s="861">
        <v>0</v>
      </c>
      <c r="AF17" s="861">
        <v>0</v>
      </c>
      <c r="AG17" s="861">
        <v>0</v>
      </c>
      <c r="AH17" s="861">
        <v>0</v>
      </c>
      <c r="AI17" s="861">
        <v>0</v>
      </c>
      <c r="AJ17" s="861">
        <v>0</v>
      </c>
      <c r="AK17" s="861">
        <v>0</v>
      </c>
      <c r="AL17" s="861">
        <v>0</v>
      </c>
      <c r="AM17" s="796"/>
    </row>
    <row r="18" spans="1:39" ht="0.15" customHeight="1">
      <c r="A18" s="809">
        <v>1</v>
      </c>
      <c r="B18" s="854"/>
      <c r="C18" s="854"/>
      <c r="D18" s="854"/>
      <c r="E18" s="854"/>
      <c r="F18" s="854"/>
      <c r="G18" s="854"/>
      <c r="H18" s="854"/>
      <c r="I18" s="854"/>
      <c r="J18" s="862" t="s">
        <v>1046</v>
      </c>
      <c r="K18" s="854"/>
      <c r="L18" s="831"/>
      <c r="M18" s="860"/>
      <c r="N18" s="209"/>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28"/>
    </row>
    <row r="19" spans="1:39" ht="22.8">
      <c r="A19" s="809">
        <v>1</v>
      </c>
      <c r="B19" s="854" t="s">
        <v>1438</v>
      </c>
      <c r="C19" s="854"/>
      <c r="D19" s="854"/>
      <c r="E19" s="854"/>
      <c r="F19" s="854"/>
      <c r="G19" s="854"/>
      <c r="H19" s="854"/>
      <c r="I19" s="854"/>
      <c r="J19" s="854"/>
      <c r="K19" s="854"/>
      <c r="L19" s="831">
        <v>2</v>
      </c>
      <c r="M19" s="860" t="s">
        <v>404</v>
      </c>
      <c r="N19" s="209" t="s">
        <v>352</v>
      </c>
      <c r="O19" s="832">
        <v>0</v>
      </c>
      <c r="P19" s="832">
        <v>0</v>
      </c>
      <c r="Q19" s="832">
        <v>0</v>
      </c>
      <c r="R19" s="832">
        <v>0</v>
      </c>
      <c r="S19" s="832">
        <v>0</v>
      </c>
      <c r="T19" s="861">
        <v>0</v>
      </c>
      <c r="U19" s="861">
        <v>0</v>
      </c>
      <c r="V19" s="861">
        <v>0</v>
      </c>
      <c r="W19" s="861">
        <v>0</v>
      </c>
      <c r="X19" s="861">
        <v>0</v>
      </c>
      <c r="Y19" s="861">
        <v>0</v>
      </c>
      <c r="Z19" s="861">
        <v>0</v>
      </c>
      <c r="AA19" s="861">
        <v>0</v>
      </c>
      <c r="AB19" s="861">
        <v>0</v>
      </c>
      <c r="AC19" s="832">
        <v>0</v>
      </c>
      <c r="AD19" s="861">
        <v>0</v>
      </c>
      <c r="AE19" s="861">
        <v>0</v>
      </c>
      <c r="AF19" s="861">
        <v>0</v>
      </c>
      <c r="AG19" s="861">
        <v>0</v>
      </c>
      <c r="AH19" s="861">
        <v>0</v>
      </c>
      <c r="AI19" s="861">
        <v>0</v>
      </c>
      <c r="AJ19" s="861">
        <v>0</v>
      </c>
      <c r="AK19" s="861">
        <v>0</v>
      </c>
      <c r="AL19" s="861">
        <v>0</v>
      </c>
      <c r="AM19" s="796"/>
    </row>
    <row r="20" spans="1:39" ht="0.15" customHeight="1">
      <c r="A20" s="809">
        <v>1</v>
      </c>
      <c r="B20" s="854"/>
      <c r="C20" s="854"/>
      <c r="D20" s="854"/>
      <c r="E20" s="854"/>
      <c r="F20" s="854"/>
      <c r="G20" s="854"/>
      <c r="H20" s="854"/>
      <c r="I20" s="854"/>
      <c r="J20" s="862" t="s">
        <v>1047</v>
      </c>
      <c r="K20" s="854"/>
      <c r="L20" s="831"/>
      <c r="M20" s="860"/>
      <c r="N20" s="209"/>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28"/>
    </row>
    <row r="21" spans="1:39" ht="11.4">
      <c r="A21" s="809">
        <v>1</v>
      </c>
      <c r="B21" s="854" t="s">
        <v>1442</v>
      </c>
      <c r="C21" s="854"/>
      <c r="D21" s="854"/>
      <c r="E21" s="854"/>
      <c r="F21" s="854"/>
      <c r="G21" s="854"/>
      <c r="H21" s="854"/>
      <c r="I21" s="854"/>
      <c r="J21" s="854"/>
      <c r="K21" s="854"/>
      <c r="L21" s="831">
        <v>3</v>
      </c>
      <c r="M21" s="860" t="s">
        <v>406</v>
      </c>
      <c r="N21" s="209" t="s">
        <v>352</v>
      </c>
      <c r="O21" s="832">
        <v>0</v>
      </c>
      <c r="P21" s="832">
        <v>0</v>
      </c>
      <c r="Q21" s="832">
        <v>0</v>
      </c>
      <c r="R21" s="832">
        <v>0</v>
      </c>
      <c r="S21" s="832">
        <v>0</v>
      </c>
      <c r="T21" s="861">
        <v>0</v>
      </c>
      <c r="U21" s="861">
        <v>0</v>
      </c>
      <c r="V21" s="861">
        <v>0</v>
      </c>
      <c r="W21" s="861">
        <v>0</v>
      </c>
      <c r="X21" s="861">
        <v>0</v>
      </c>
      <c r="Y21" s="861">
        <v>0</v>
      </c>
      <c r="Z21" s="861">
        <v>0</v>
      </c>
      <c r="AA21" s="861">
        <v>0</v>
      </c>
      <c r="AB21" s="861">
        <v>0</v>
      </c>
      <c r="AC21" s="832">
        <v>0</v>
      </c>
      <c r="AD21" s="861">
        <v>0</v>
      </c>
      <c r="AE21" s="861">
        <v>0</v>
      </c>
      <c r="AF21" s="861">
        <v>0</v>
      </c>
      <c r="AG21" s="861">
        <v>0</v>
      </c>
      <c r="AH21" s="861">
        <v>0</v>
      </c>
      <c r="AI21" s="861">
        <v>0</v>
      </c>
      <c r="AJ21" s="861">
        <v>0</v>
      </c>
      <c r="AK21" s="861">
        <v>0</v>
      </c>
      <c r="AL21" s="861">
        <v>0</v>
      </c>
      <c r="AM21" s="796"/>
    </row>
    <row r="22" spans="1:39" ht="0.15" customHeight="1">
      <c r="A22" s="809">
        <v>1</v>
      </c>
      <c r="B22" s="854"/>
      <c r="C22" s="854"/>
      <c r="D22" s="854"/>
      <c r="E22" s="854"/>
      <c r="F22" s="854"/>
      <c r="G22" s="854"/>
      <c r="H22" s="854"/>
      <c r="I22" s="854"/>
      <c r="J22" s="862" t="s">
        <v>1048</v>
      </c>
      <c r="K22" s="854"/>
      <c r="L22" s="831"/>
      <c r="M22" s="860"/>
      <c r="N22" s="209"/>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28"/>
    </row>
    <row r="23" spans="1:39" ht="11.4">
      <c r="A23" s="809">
        <v>1</v>
      </c>
      <c r="B23" s="854" t="s">
        <v>1444</v>
      </c>
      <c r="C23" s="854"/>
      <c r="D23" s="854"/>
      <c r="E23" s="854"/>
      <c r="F23" s="854"/>
      <c r="G23" s="854"/>
      <c r="H23" s="854"/>
      <c r="I23" s="854"/>
      <c r="J23" s="854"/>
      <c r="K23" s="854"/>
      <c r="L23" s="831">
        <v>4</v>
      </c>
      <c r="M23" s="860" t="s">
        <v>407</v>
      </c>
      <c r="N23" s="209" t="s">
        <v>352</v>
      </c>
      <c r="O23" s="832">
        <v>0</v>
      </c>
      <c r="P23" s="832">
        <v>0</v>
      </c>
      <c r="Q23" s="832">
        <v>0</v>
      </c>
      <c r="R23" s="832">
        <v>0</v>
      </c>
      <c r="S23" s="832">
        <v>0</v>
      </c>
      <c r="T23" s="861">
        <v>0</v>
      </c>
      <c r="U23" s="861">
        <v>0</v>
      </c>
      <c r="V23" s="861">
        <v>0</v>
      </c>
      <c r="W23" s="861">
        <v>0</v>
      </c>
      <c r="X23" s="861">
        <v>0</v>
      </c>
      <c r="Y23" s="861">
        <v>0</v>
      </c>
      <c r="Z23" s="861">
        <v>0</v>
      </c>
      <c r="AA23" s="861">
        <v>0</v>
      </c>
      <c r="AB23" s="861">
        <v>0</v>
      </c>
      <c r="AC23" s="832">
        <v>0</v>
      </c>
      <c r="AD23" s="861">
        <v>0</v>
      </c>
      <c r="AE23" s="861">
        <v>0</v>
      </c>
      <c r="AF23" s="861">
        <v>0</v>
      </c>
      <c r="AG23" s="861">
        <v>0</v>
      </c>
      <c r="AH23" s="861">
        <v>0</v>
      </c>
      <c r="AI23" s="861">
        <v>0</v>
      </c>
      <c r="AJ23" s="861">
        <v>0</v>
      </c>
      <c r="AK23" s="861">
        <v>0</v>
      </c>
      <c r="AL23" s="861">
        <v>0</v>
      </c>
      <c r="AM23" s="796"/>
    </row>
    <row r="24" spans="1:39" ht="0.15" customHeight="1">
      <c r="A24" s="809">
        <v>1</v>
      </c>
      <c r="B24" s="854"/>
      <c r="C24" s="854"/>
      <c r="D24" s="854"/>
      <c r="E24" s="854"/>
      <c r="F24" s="854"/>
      <c r="G24" s="854"/>
      <c r="H24" s="854"/>
      <c r="I24" s="854"/>
      <c r="J24" s="862" t="s">
        <v>1049</v>
      </c>
      <c r="K24" s="854"/>
      <c r="L24" s="831"/>
      <c r="M24" s="860"/>
      <c r="N24" s="209"/>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28"/>
    </row>
    <row r="25" spans="1:39" ht="11.4">
      <c r="A25" s="809">
        <v>1</v>
      </c>
      <c r="B25" s="854" t="s">
        <v>1446</v>
      </c>
      <c r="C25" s="854"/>
      <c r="D25" s="854"/>
      <c r="E25" s="854"/>
      <c r="F25" s="854"/>
      <c r="G25" s="854"/>
      <c r="H25" s="854"/>
      <c r="I25" s="854"/>
      <c r="J25" s="854"/>
      <c r="K25" s="854"/>
      <c r="L25" s="831">
        <v>5</v>
      </c>
      <c r="M25" s="860" t="s">
        <v>1293</v>
      </c>
      <c r="N25" s="209" t="s">
        <v>352</v>
      </c>
      <c r="O25" s="832">
        <v>0</v>
      </c>
      <c r="P25" s="832">
        <v>0</v>
      </c>
      <c r="Q25" s="832">
        <v>0</v>
      </c>
      <c r="R25" s="832">
        <v>0</v>
      </c>
      <c r="S25" s="832">
        <v>0</v>
      </c>
      <c r="T25" s="861">
        <v>0</v>
      </c>
      <c r="U25" s="861">
        <v>0</v>
      </c>
      <c r="V25" s="861">
        <v>0</v>
      </c>
      <c r="W25" s="861">
        <v>0</v>
      </c>
      <c r="X25" s="861">
        <v>0</v>
      </c>
      <c r="Y25" s="861">
        <v>0</v>
      </c>
      <c r="Z25" s="861">
        <v>0</v>
      </c>
      <c r="AA25" s="861">
        <v>0</v>
      </c>
      <c r="AB25" s="861">
        <v>0</v>
      </c>
      <c r="AC25" s="832">
        <v>0</v>
      </c>
      <c r="AD25" s="861">
        <v>0</v>
      </c>
      <c r="AE25" s="861">
        <v>0</v>
      </c>
      <c r="AF25" s="861">
        <v>0</v>
      </c>
      <c r="AG25" s="861">
        <v>0</v>
      </c>
      <c r="AH25" s="861">
        <v>0</v>
      </c>
      <c r="AI25" s="861">
        <v>0</v>
      </c>
      <c r="AJ25" s="861">
        <v>0</v>
      </c>
      <c r="AK25" s="861">
        <v>0</v>
      </c>
      <c r="AL25" s="861">
        <v>0</v>
      </c>
      <c r="AM25" s="796"/>
    </row>
    <row r="26" spans="1:39" ht="0.15" customHeight="1">
      <c r="A26" s="809">
        <v>1</v>
      </c>
      <c r="B26" s="854"/>
      <c r="C26" s="854"/>
      <c r="D26" s="854"/>
      <c r="E26" s="854"/>
      <c r="F26" s="854"/>
      <c r="G26" s="854"/>
      <c r="H26" s="854"/>
      <c r="I26" s="854"/>
      <c r="J26" s="862" t="s">
        <v>1314</v>
      </c>
      <c r="K26" s="854"/>
      <c r="L26" s="831"/>
      <c r="M26" s="860"/>
      <c r="N26" s="209"/>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28"/>
    </row>
    <row r="27" spans="1:39" s="97" customFormat="1" ht="11.4">
      <c r="A27" s="809">
        <v>1</v>
      </c>
      <c r="B27" s="854" t="s">
        <v>1448</v>
      </c>
      <c r="C27" s="855"/>
      <c r="D27" s="855"/>
      <c r="E27" s="855"/>
      <c r="F27" s="855"/>
      <c r="G27" s="855"/>
      <c r="H27" s="855"/>
      <c r="I27" s="855"/>
      <c r="J27" s="855"/>
      <c r="K27" s="855"/>
      <c r="L27" s="831">
        <v>6</v>
      </c>
      <c r="M27" s="860" t="s">
        <v>408</v>
      </c>
      <c r="N27" s="209" t="s">
        <v>352</v>
      </c>
      <c r="O27" s="861"/>
      <c r="P27" s="861"/>
      <c r="Q27" s="861"/>
      <c r="R27" s="861"/>
      <c r="S27" s="861"/>
      <c r="T27" s="861"/>
      <c r="U27" s="861"/>
      <c r="V27" s="861"/>
      <c r="W27" s="861"/>
      <c r="X27" s="861"/>
      <c r="Y27" s="861"/>
      <c r="Z27" s="861"/>
      <c r="AA27" s="861"/>
      <c r="AB27" s="861"/>
      <c r="AC27" s="861"/>
      <c r="AD27" s="861"/>
      <c r="AE27" s="861"/>
      <c r="AF27" s="861"/>
      <c r="AG27" s="861"/>
      <c r="AH27" s="861"/>
      <c r="AI27" s="861"/>
      <c r="AJ27" s="861"/>
      <c r="AK27" s="861"/>
      <c r="AL27" s="861"/>
      <c r="AM27" s="796"/>
    </row>
    <row r="28" spans="1:39" s="97" customFormat="1" ht="11.4">
      <c r="A28" s="809">
        <v>1</v>
      </c>
      <c r="B28" s="854" t="s">
        <v>1450</v>
      </c>
      <c r="C28" s="855"/>
      <c r="D28" s="855"/>
      <c r="E28" s="855"/>
      <c r="F28" s="855"/>
      <c r="G28" s="855"/>
      <c r="H28" s="855"/>
      <c r="I28" s="855"/>
      <c r="J28" s="855"/>
      <c r="K28" s="855"/>
      <c r="L28" s="831">
        <v>7</v>
      </c>
      <c r="M28" s="860" t="s">
        <v>409</v>
      </c>
      <c r="N28" s="209" t="s">
        <v>352</v>
      </c>
      <c r="O28" s="861"/>
      <c r="P28" s="861"/>
      <c r="Q28" s="861"/>
      <c r="R28" s="861"/>
      <c r="S28" s="861"/>
      <c r="T28" s="861"/>
      <c r="U28" s="861"/>
      <c r="V28" s="861"/>
      <c r="W28" s="861"/>
      <c r="X28" s="861"/>
      <c r="Y28" s="861"/>
      <c r="Z28" s="861"/>
      <c r="AA28" s="861"/>
      <c r="AB28" s="861"/>
      <c r="AC28" s="861"/>
      <c r="AD28" s="861"/>
      <c r="AE28" s="861"/>
      <c r="AF28" s="861"/>
      <c r="AG28" s="861"/>
      <c r="AH28" s="861"/>
      <c r="AI28" s="861"/>
      <c r="AJ28" s="861"/>
      <c r="AK28" s="861"/>
      <c r="AL28" s="861"/>
      <c r="AM28" s="796"/>
    </row>
    <row r="29" spans="1:39" s="97" customFormat="1" ht="11.4">
      <c r="A29" s="809">
        <v>1</v>
      </c>
      <c r="B29" s="854" t="s">
        <v>1452</v>
      </c>
      <c r="C29" s="855"/>
      <c r="D29" s="855"/>
      <c r="E29" s="855"/>
      <c r="F29" s="855"/>
      <c r="G29" s="855"/>
      <c r="H29" s="855"/>
      <c r="I29" s="855"/>
      <c r="J29" s="855"/>
      <c r="K29" s="855"/>
      <c r="L29" s="831">
        <v>8</v>
      </c>
      <c r="M29" s="860" t="s">
        <v>410</v>
      </c>
      <c r="N29" s="209" t="s">
        <v>352</v>
      </c>
      <c r="O29" s="861"/>
      <c r="P29" s="861"/>
      <c r="Q29" s="861"/>
      <c r="R29" s="861"/>
      <c r="S29" s="861"/>
      <c r="T29" s="861"/>
      <c r="U29" s="861"/>
      <c r="V29" s="861"/>
      <c r="W29" s="861"/>
      <c r="X29" s="861"/>
      <c r="Y29" s="861"/>
      <c r="Z29" s="861"/>
      <c r="AA29" s="861"/>
      <c r="AB29" s="861"/>
      <c r="AC29" s="861"/>
      <c r="AD29" s="861"/>
      <c r="AE29" s="861"/>
      <c r="AF29" s="861"/>
      <c r="AG29" s="861"/>
      <c r="AH29" s="861"/>
      <c r="AI29" s="861"/>
      <c r="AJ29" s="861"/>
      <c r="AK29" s="861"/>
      <c r="AL29" s="861"/>
      <c r="AM29" s="796"/>
    </row>
    <row r="30" spans="1:39" ht="11.4">
      <c r="A30" s="788" t="s">
        <v>102</v>
      </c>
      <c r="B30" s="854" t="s">
        <v>1202</v>
      </c>
      <c r="C30" s="854"/>
      <c r="D30" s="854"/>
      <c r="E30" s="854"/>
      <c r="F30" s="854"/>
      <c r="G30" s="854"/>
      <c r="H30" s="854"/>
      <c r="I30" s="854"/>
      <c r="J30" s="854"/>
      <c r="K30" s="854"/>
      <c r="L30" s="828" t="s">
        <v>3009</v>
      </c>
      <c r="M30" s="708"/>
      <c r="N30" s="708"/>
      <c r="O30" s="858">
        <v>0</v>
      </c>
      <c r="P30" s="858">
        <v>0</v>
      </c>
      <c r="Q30" s="858">
        <v>0</v>
      </c>
      <c r="R30" s="858">
        <v>0</v>
      </c>
      <c r="S30" s="858">
        <v>0</v>
      </c>
      <c r="T30" s="858">
        <v>0</v>
      </c>
      <c r="U30" s="858">
        <v>0</v>
      </c>
      <c r="V30" s="858">
        <v>0</v>
      </c>
      <c r="W30" s="858">
        <v>0</v>
      </c>
      <c r="X30" s="858">
        <v>0</v>
      </c>
      <c r="Y30" s="858">
        <v>0</v>
      </c>
      <c r="Z30" s="858">
        <v>0</v>
      </c>
      <c r="AA30" s="858">
        <v>0</v>
      </c>
      <c r="AB30" s="858">
        <v>0</v>
      </c>
      <c r="AC30" s="858">
        <v>0</v>
      </c>
      <c r="AD30" s="858">
        <v>0</v>
      </c>
      <c r="AE30" s="858">
        <v>0</v>
      </c>
      <c r="AF30" s="858">
        <v>0</v>
      </c>
      <c r="AG30" s="858">
        <v>0</v>
      </c>
      <c r="AH30" s="858">
        <v>0</v>
      </c>
      <c r="AI30" s="858">
        <v>0</v>
      </c>
      <c r="AJ30" s="858">
        <v>0</v>
      </c>
      <c r="AK30" s="858">
        <v>0</v>
      </c>
      <c r="AL30" s="858">
        <v>0</v>
      </c>
      <c r="AM30" s="859"/>
    </row>
    <row r="31" spans="1:39" ht="11.4">
      <c r="A31" s="809">
        <v>2</v>
      </c>
      <c r="B31" s="854" t="s">
        <v>1406</v>
      </c>
      <c r="C31" s="854"/>
      <c r="D31" s="854"/>
      <c r="E31" s="854"/>
      <c r="F31" s="854"/>
      <c r="G31" s="854"/>
      <c r="H31" s="854"/>
      <c r="I31" s="854"/>
      <c r="J31" s="854"/>
      <c r="K31" s="854"/>
      <c r="L31" s="831">
        <v>1</v>
      </c>
      <c r="M31" s="860" t="s">
        <v>402</v>
      </c>
      <c r="N31" s="209" t="s">
        <v>352</v>
      </c>
      <c r="O31" s="832">
        <v>0</v>
      </c>
      <c r="P31" s="832">
        <v>0</v>
      </c>
      <c r="Q31" s="832">
        <v>0</v>
      </c>
      <c r="R31" s="832">
        <v>0</v>
      </c>
      <c r="S31" s="832">
        <v>0</v>
      </c>
      <c r="T31" s="861">
        <v>0</v>
      </c>
      <c r="U31" s="861">
        <v>0</v>
      </c>
      <c r="V31" s="861">
        <v>0</v>
      </c>
      <c r="W31" s="861">
        <v>0</v>
      </c>
      <c r="X31" s="861">
        <v>0</v>
      </c>
      <c r="Y31" s="861">
        <v>0</v>
      </c>
      <c r="Z31" s="861">
        <v>0</v>
      </c>
      <c r="AA31" s="861">
        <v>0</v>
      </c>
      <c r="AB31" s="861">
        <v>0</v>
      </c>
      <c r="AC31" s="832">
        <v>0</v>
      </c>
      <c r="AD31" s="861">
        <v>0</v>
      </c>
      <c r="AE31" s="861">
        <v>0</v>
      </c>
      <c r="AF31" s="861">
        <v>0</v>
      </c>
      <c r="AG31" s="861">
        <v>0</v>
      </c>
      <c r="AH31" s="861">
        <v>0</v>
      </c>
      <c r="AI31" s="861">
        <v>0</v>
      </c>
      <c r="AJ31" s="861">
        <v>0</v>
      </c>
      <c r="AK31" s="861">
        <v>0</v>
      </c>
      <c r="AL31" s="861">
        <v>0</v>
      </c>
      <c r="AM31" s="796"/>
    </row>
    <row r="32" spans="1:39" ht="0.15" customHeight="1">
      <c r="A32" s="809">
        <v>2</v>
      </c>
      <c r="B32" s="854"/>
      <c r="C32" s="854"/>
      <c r="D32" s="854"/>
      <c r="E32" s="854"/>
      <c r="F32" s="854"/>
      <c r="G32" s="854"/>
      <c r="H32" s="854"/>
      <c r="I32" s="854"/>
      <c r="J32" s="862" t="s">
        <v>1046</v>
      </c>
      <c r="K32" s="854"/>
      <c r="L32" s="831"/>
      <c r="M32" s="860"/>
      <c r="N32" s="209"/>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28"/>
    </row>
    <row r="33" spans="1:39" ht="22.8">
      <c r="A33" s="809">
        <v>2</v>
      </c>
      <c r="B33" s="854" t="s">
        <v>1438</v>
      </c>
      <c r="C33" s="854"/>
      <c r="D33" s="854"/>
      <c r="E33" s="854"/>
      <c r="F33" s="854"/>
      <c r="G33" s="854"/>
      <c r="H33" s="854"/>
      <c r="I33" s="854"/>
      <c r="J33" s="854"/>
      <c r="K33" s="854"/>
      <c r="L33" s="831">
        <v>2</v>
      </c>
      <c r="M33" s="860" t="s">
        <v>404</v>
      </c>
      <c r="N33" s="209" t="s">
        <v>352</v>
      </c>
      <c r="O33" s="832">
        <v>0</v>
      </c>
      <c r="P33" s="832">
        <v>0</v>
      </c>
      <c r="Q33" s="832">
        <v>0</v>
      </c>
      <c r="R33" s="832">
        <v>0</v>
      </c>
      <c r="S33" s="832">
        <v>0</v>
      </c>
      <c r="T33" s="861">
        <v>0</v>
      </c>
      <c r="U33" s="861">
        <v>0</v>
      </c>
      <c r="V33" s="861">
        <v>0</v>
      </c>
      <c r="W33" s="861">
        <v>0</v>
      </c>
      <c r="X33" s="861">
        <v>0</v>
      </c>
      <c r="Y33" s="861">
        <v>0</v>
      </c>
      <c r="Z33" s="861">
        <v>0</v>
      </c>
      <c r="AA33" s="861">
        <v>0</v>
      </c>
      <c r="AB33" s="861">
        <v>0</v>
      </c>
      <c r="AC33" s="832">
        <v>0</v>
      </c>
      <c r="AD33" s="861">
        <v>0</v>
      </c>
      <c r="AE33" s="861">
        <v>0</v>
      </c>
      <c r="AF33" s="861">
        <v>0</v>
      </c>
      <c r="AG33" s="861">
        <v>0</v>
      </c>
      <c r="AH33" s="861">
        <v>0</v>
      </c>
      <c r="AI33" s="861">
        <v>0</v>
      </c>
      <c r="AJ33" s="861">
        <v>0</v>
      </c>
      <c r="AK33" s="861">
        <v>0</v>
      </c>
      <c r="AL33" s="861">
        <v>0</v>
      </c>
      <c r="AM33" s="796"/>
    </row>
    <row r="34" spans="1:39" ht="0.15" customHeight="1">
      <c r="A34" s="809">
        <v>2</v>
      </c>
      <c r="B34" s="854"/>
      <c r="C34" s="854"/>
      <c r="D34" s="854"/>
      <c r="E34" s="854"/>
      <c r="F34" s="854"/>
      <c r="G34" s="854"/>
      <c r="H34" s="854"/>
      <c r="I34" s="854"/>
      <c r="J34" s="862" t="s">
        <v>1047</v>
      </c>
      <c r="K34" s="854"/>
      <c r="L34" s="831"/>
      <c r="M34" s="860"/>
      <c r="N34" s="209"/>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10"/>
      <c r="AL34" s="210"/>
      <c r="AM34" s="228"/>
    </row>
    <row r="35" spans="1:39" ht="11.4">
      <c r="A35" s="809">
        <v>2</v>
      </c>
      <c r="B35" s="854" t="s">
        <v>1442</v>
      </c>
      <c r="C35" s="854"/>
      <c r="D35" s="854"/>
      <c r="E35" s="854"/>
      <c r="F35" s="854"/>
      <c r="G35" s="854"/>
      <c r="H35" s="854"/>
      <c r="I35" s="854"/>
      <c r="J35" s="854"/>
      <c r="K35" s="854"/>
      <c r="L35" s="831">
        <v>3</v>
      </c>
      <c r="M35" s="860" t="s">
        <v>406</v>
      </c>
      <c r="N35" s="209" t="s">
        <v>352</v>
      </c>
      <c r="O35" s="832">
        <v>0</v>
      </c>
      <c r="P35" s="832">
        <v>0</v>
      </c>
      <c r="Q35" s="832">
        <v>0</v>
      </c>
      <c r="R35" s="832">
        <v>0</v>
      </c>
      <c r="S35" s="832">
        <v>0</v>
      </c>
      <c r="T35" s="861">
        <v>0</v>
      </c>
      <c r="U35" s="861">
        <v>0</v>
      </c>
      <c r="V35" s="861">
        <v>0</v>
      </c>
      <c r="W35" s="861">
        <v>0</v>
      </c>
      <c r="X35" s="861">
        <v>0</v>
      </c>
      <c r="Y35" s="861">
        <v>0</v>
      </c>
      <c r="Z35" s="861">
        <v>0</v>
      </c>
      <c r="AA35" s="861">
        <v>0</v>
      </c>
      <c r="AB35" s="861">
        <v>0</v>
      </c>
      <c r="AC35" s="832">
        <v>0</v>
      </c>
      <c r="AD35" s="861">
        <v>0</v>
      </c>
      <c r="AE35" s="861">
        <v>0</v>
      </c>
      <c r="AF35" s="861">
        <v>0</v>
      </c>
      <c r="AG35" s="861">
        <v>0</v>
      </c>
      <c r="AH35" s="861">
        <v>0</v>
      </c>
      <c r="AI35" s="861">
        <v>0</v>
      </c>
      <c r="AJ35" s="861">
        <v>0</v>
      </c>
      <c r="AK35" s="861">
        <v>0</v>
      </c>
      <c r="AL35" s="861">
        <v>0</v>
      </c>
      <c r="AM35" s="796"/>
    </row>
    <row r="36" spans="1:39" ht="0.15" customHeight="1">
      <c r="A36" s="809">
        <v>2</v>
      </c>
      <c r="B36" s="854"/>
      <c r="C36" s="854"/>
      <c r="D36" s="854"/>
      <c r="E36" s="854"/>
      <c r="F36" s="854"/>
      <c r="G36" s="854"/>
      <c r="H36" s="854"/>
      <c r="I36" s="854"/>
      <c r="J36" s="862" t="s">
        <v>1048</v>
      </c>
      <c r="K36" s="854"/>
      <c r="L36" s="831"/>
      <c r="M36" s="860"/>
      <c r="N36" s="209"/>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28"/>
    </row>
    <row r="37" spans="1:39" ht="11.4">
      <c r="A37" s="809">
        <v>2</v>
      </c>
      <c r="B37" s="854" t="s">
        <v>1444</v>
      </c>
      <c r="C37" s="854"/>
      <c r="D37" s="854"/>
      <c r="E37" s="854"/>
      <c r="F37" s="854"/>
      <c r="G37" s="854"/>
      <c r="H37" s="854"/>
      <c r="I37" s="854"/>
      <c r="J37" s="854"/>
      <c r="K37" s="854"/>
      <c r="L37" s="831">
        <v>4</v>
      </c>
      <c r="M37" s="860" t="s">
        <v>407</v>
      </c>
      <c r="N37" s="209" t="s">
        <v>352</v>
      </c>
      <c r="O37" s="832">
        <v>0</v>
      </c>
      <c r="P37" s="832">
        <v>0</v>
      </c>
      <c r="Q37" s="832">
        <v>0</v>
      </c>
      <c r="R37" s="832">
        <v>0</v>
      </c>
      <c r="S37" s="832">
        <v>0</v>
      </c>
      <c r="T37" s="861">
        <v>0</v>
      </c>
      <c r="U37" s="861">
        <v>0</v>
      </c>
      <c r="V37" s="861">
        <v>0</v>
      </c>
      <c r="W37" s="861">
        <v>0</v>
      </c>
      <c r="X37" s="861">
        <v>0</v>
      </c>
      <c r="Y37" s="861">
        <v>0</v>
      </c>
      <c r="Z37" s="861">
        <v>0</v>
      </c>
      <c r="AA37" s="861">
        <v>0</v>
      </c>
      <c r="AB37" s="861">
        <v>0</v>
      </c>
      <c r="AC37" s="832">
        <v>0</v>
      </c>
      <c r="AD37" s="861">
        <v>0</v>
      </c>
      <c r="AE37" s="861">
        <v>0</v>
      </c>
      <c r="AF37" s="861">
        <v>0</v>
      </c>
      <c r="AG37" s="861">
        <v>0</v>
      </c>
      <c r="AH37" s="861">
        <v>0</v>
      </c>
      <c r="AI37" s="861">
        <v>0</v>
      </c>
      <c r="AJ37" s="861">
        <v>0</v>
      </c>
      <c r="AK37" s="861">
        <v>0</v>
      </c>
      <c r="AL37" s="861">
        <v>0</v>
      </c>
      <c r="AM37" s="796"/>
    </row>
    <row r="38" spans="1:39" ht="0.15" customHeight="1">
      <c r="A38" s="809">
        <v>2</v>
      </c>
      <c r="B38" s="854"/>
      <c r="C38" s="854"/>
      <c r="D38" s="854"/>
      <c r="E38" s="854"/>
      <c r="F38" s="854"/>
      <c r="G38" s="854"/>
      <c r="H38" s="854"/>
      <c r="I38" s="854"/>
      <c r="J38" s="862" t="s">
        <v>1049</v>
      </c>
      <c r="K38" s="854"/>
      <c r="L38" s="831"/>
      <c r="M38" s="860"/>
      <c r="N38" s="209"/>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28"/>
    </row>
    <row r="39" spans="1:39" ht="11.4">
      <c r="A39" s="809">
        <v>2</v>
      </c>
      <c r="B39" s="854" t="s">
        <v>1446</v>
      </c>
      <c r="C39" s="854"/>
      <c r="D39" s="854"/>
      <c r="E39" s="854"/>
      <c r="F39" s="854"/>
      <c r="G39" s="854"/>
      <c r="H39" s="854"/>
      <c r="I39" s="854"/>
      <c r="J39" s="854"/>
      <c r="K39" s="854"/>
      <c r="L39" s="831">
        <v>5</v>
      </c>
      <c r="M39" s="860" t="s">
        <v>1293</v>
      </c>
      <c r="N39" s="209" t="s">
        <v>352</v>
      </c>
      <c r="O39" s="832">
        <v>0</v>
      </c>
      <c r="P39" s="832">
        <v>0</v>
      </c>
      <c r="Q39" s="832">
        <v>0</v>
      </c>
      <c r="R39" s="832">
        <v>0</v>
      </c>
      <c r="S39" s="832">
        <v>0</v>
      </c>
      <c r="T39" s="861">
        <v>0</v>
      </c>
      <c r="U39" s="861">
        <v>0</v>
      </c>
      <c r="V39" s="861">
        <v>0</v>
      </c>
      <c r="W39" s="861">
        <v>0</v>
      </c>
      <c r="X39" s="861">
        <v>0</v>
      </c>
      <c r="Y39" s="861">
        <v>0</v>
      </c>
      <c r="Z39" s="861">
        <v>0</v>
      </c>
      <c r="AA39" s="861">
        <v>0</v>
      </c>
      <c r="AB39" s="861">
        <v>0</v>
      </c>
      <c r="AC39" s="832">
        <v>0</v>
      </c>
      <c r="AD39" s="861">
        <v>0</v>
      </c>
      <c r="AE39" s="861">
        <v>0</v>
      </c>
      <c r="AF39" s="861">
        <v>0</v>
      </c>
      <c r="AG39" s="861">
        <v>0</v>
      </c>
      <c r="AH39" s="861">
        <v>0</v>
      </c>
      <c r="AI39" s="861">
        <v>0</v>
      </c>
      <c r="AJ39" s="861">
        <v>0</v>
      </c>
      <c r="AK39" s="861">
        <v>0</v>
      </c>
      <c r="AL39" s="861">
        <v>0</v>
      </c>
      <c r="AM39" s="796"/>
    </row>
    <row r="40" spans="1:39" ht="0.15" customHeight="1">
      <c r="A40" s="809">
        <v>2</v>
      </c>
      <c r="B40" s="854"/>
      <c r="C40" s="854"/>
      <c r="D40" s="854"/>
      <c r="E40" s="854"/>
      <c r="F40" s="854"/>
      <c r="G40" s="854"/>
      <c r="H40" s="854"/>
      <c r="I40" s="854"/>
      <c r="J40" s="862" t="s">
        <v>1314</v>
      </c>
      <c r="K40" s="854"/>
      <c r="L40" s="831"/>
      <c r="M40" s="860"/>
      <c r="N40" s="209"/>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28"/>
    </row>
    <row r="41" spans="1:39" s="97" customFormat="1" ht="11.4">
      <c r="A41" s="809">
        <v>2</v>
      </c>
      <c r="B41" s="854" t="s">
        <v>1448</v>
      </c>
      <c r="C41" s="855"/>
      <c r="D41" s="855"/>
      <c r="E41" s="855"/>
      <c r="F41" s="855"/>
      <c r="G41" s="855"/>
      <c r="H41" s="855"/>
      <c r="I41" s="855"/>
      <c r="J41" s="855"/>
      <c r="K41" s="855"/>
      <c r="L41" s="831">
        <v>6</v>
      </c>
      <c r="M41" s="860" t="s">
        <v>408</v>
      </c>
      <c r="N41" s="209" t="s">
        <v>352</v>
      </c>
      <c r="O41" s="861"/>
      <c r="P41" s="861"/>
      <c r="Q41" s="861"/>
      <c r="R41" s="861"/>
      <c r="S41" s="861"/>
      <c r="T41" s="861"/>
      <c r="U41" s="861"/>
      <c r="V41" s="861"/>
      <c r="W41" s="861"/>
      <c r="X41" s="861"/>
      <c r="Y41" s="861"/>
      <c r="Z41" s="861"/>
      <c r="AA41" s="861"/>
      <c r="AB41" s="861"/>
      <c r="AC41" s="861"/>
      <c r="AD41" s="861"/>
      <c r="AE41" s="861"/>
      <c r="AF41" s="861"/>
      <c r="AG41" s="861"/>
      <c r="AH41" s="861"/>
      <c r="AI41" s="861"/>
      <c r="AJ41" s="861"/>
      <c r="AK41" s="861"/>
      <c r="AL41" s="861"/>
      <c r="AM41" s="796"/>
    </row>
    <row r="42" spans="1:39" s="97" customFormat="1" ht="11.4">
      <c r="A42" s="809">
        <v>2</v>
      </c>
      <c r="B42" s="854" t="s">
        <v>1450</v>
      </c>
      <c r="C42" s="855"/>
      <c r="D42" s="855"/>
      <c r="E42" s="855"/>
      <c r="F42" s="855"/>
      <c r="G42" s="855"/>
      <c r="H42" s="855"/>
      <c r="I42" s="855"/>
      <c r="J42" s="855"/>
      <c r="K42" s="855"/>
      <c r="L42" s="831">
        <v>7</v>
      </c>
      <c r="M42" s="860" t="s">
        <v>409</v>
      </c>
      <c r="N42" s="209" t="s">
        <v>352</v>
      </c>
      <c r="O42" s="861"/>
      <c r="P42" s="861"/>
      <c r="Q42" s="861"/>
      <c r="R42" s="861"/>
      <c r="S42" s="861"/>
      <c r="T42" s="861"/>
      <c r="U42" s="861"/>
      <c r="V42" s="861"/>
      <c r="W42" s="861"/>
      <c r="X42" s="861"/>
      <c r="Y42" s="861"/>
      <c r="Z42" s="861"/>
      <c r="AA42" s="861"/>
      <c r="AB42" s="861"/>
      <c r="AC42" s="861"/>
      <c r="AD42" s="861"/>
      <c r="AE42" s="861"/>
      <c r="AF42" s="861"/>
      <c r="AG42" s="861"/>
      <c r="AH42" s="861"/>
      <c r="AI42" s="861"/>
      <c r="AJ42" s="861"/>
      <c r="AK42" s="861"/>
      <c r="AL42" s="861"/>
      <c r="AM42" s="796"/>
    </row>
    <row r="43" spans="1:39" s="97" customFormat="1" ht="11.4">
      <c r="A43" s="809">
        <v>2</v>
      </c>
      <c r="B43" s="854" t="s">
        <v>1452</v>
      </c>
      <c r="C43" s="855"/>
      <c r="D43" s="855"/>
      <c r="E43" s="855"/>
      <c r="F43" s="855"/>
      <c r="G43" s="855"/>
      <c r="H43" s="855"/>
      <c r="I43" s="855"/>
      <c r="J43" s="855"/>
      <c r="K43" s="855"/>
      <c r="L43" s="831">
        <v>8</v>
      </c>
      <c r="M43" s="860" t="s">
        <v>410</v>
      </c>
      <c r="N43" s="209" t="s">
        <v>352</v>
      </c>
      <c r="O43" s="861"/>
      <c r="P43" s="861"/>
      <c r="Q43" s="861"/>
      <c r="R43" s="861"/>
      <c r="S43" s="861"/>
      <c r="T43" s="861"/>
      <c r="U43" s="861"/>
      <c r="V43" s="861"/>
      <c r="W43" s="861"/>
      <c r="X43" s="861"/>
      <c r="Y43" s="861"/>
      <c r="Z43" s="861"/>
      <c r="AA43" s="861"/>
      <c r="AB43" s="861"/>
      <c r="AC43" s="861"/>
      <c r="AD43" s="861"/>
      <c r="AE43" s="861"/>
      <c r="AF43" s="861"/>
      <c r="AG43" s="861"/>
      <c r="AH43" s="861"/>
      <c r="AI43" s="861"/>
      <c r="AJ43" s="861"/>
      <c r="AK43" s="861"/>
      <c r="AL43" s="861"/>
      <c r="AM43" s="796"/>
    </row>
    <row r="44" spans="1:39" ht="11.4">
      <c r="A44" s="854"/>
      <c r="B44" s="854"/>
      <c r="C44" s="854"/>
      <c r="D44" s="854"/>
      <c r="E44" s="854"/>
      <c r="F44" s="854"/>
      <c r="G44" s="854"/>
      <c r="H44" s="854"/>
      <c r="I44" s="854"/>
      <c r="J44" s="854"/>
      <c r="K44" s="854"/>
      <c r="L44" s="824"/>
      <c r="M44" s="823"/>
      <c r="N44" s="823"/>
      <c r="O44" s="823"/>
      <c r="P44" s="823"/>
      <c r="Q44" s="823"/>
      <c r="R44" s="823"/>
      <c r="S44" s="823"/>
      <c r="T44" s="823"/>
      <c r="U44" s="823"/>
      <c r="V44" s="823"/>
      <c r="W44" s="823"/>
      <c r="X44" s="823"/>
      <c r="Y44" s="823"/>
      <c r="Z44" s="823"/>
      <c r="AA44" s="823"/>
      <c r="AB44" s="823"/>
      <c r="AC44" s="823"/>
      <c r="AD44" s="823"/>
      <c r="AE44" s="823"/>
      <c r="AF44" s="823"/>
      <c r="AG44" s="823"/>
      <c r="AH44" s="823"/>
      <c r="AI44" s="823"/>
      <c r="AJ44" s="823"/>
      <c r="AK44" s="823"/>
      <c r="AL44" s="823"/>
      <c r="AM44" s="823"/>
    </row>
    <row r="45" spans="1:39" s="86" customFormat="1" ht="15" customHeight="1">
      <c r="A45" s="781"/>
      <c r="B45" s="781"/>
      <c r="C45" s="781"/>
      <c r="D45" s="781"/>
      <c r="E45" s="781"/>
      <c r="F45" s="781"/>
      <c r="G45" s="781"/>
      <c r="H45" s="781"/>
      <c r="I45" s="781"/>
      <c r="J45" s="781"/>
      <c r="K45" s="781"/>
      <c r="L45" s="1122" t="s">
        <v>1367</v>
      </c>
      <c r="M45" s="1122"/>
      <c r="N45" s="1122"/>
      <c r="O45" s="1122"/>
      <c r="P45" s="1122"/>
      <c r="Q45" s="1122"/>
      <c r="R45" s="1122"/>
      <c r="S45" s="1123"/>
      <c r="T45" s="1123"/>
      <c r="U45" s="1123"/>
      <c r="V45" s="1123"/>
      <c r="W45" s="1123"/>
      <c r="X45" s="1123"/>
      <c r="Y45" s="1123"/>
      <c r="Z45" s="1123"/>
      <c r="AA45" s="1123"/>
      <c r="AB45" s="1123"/>
      <c r="AC45" s="1123"/>
      <c r="AD45" s="1123"/>
      <c r="AE45" s="1123"/>
      <c r="AF45" s="1123"/>
      <c r="AG45" s="1123"/>
      <c r="AH45" s="1123"/>
      <c r="AI45" s="1123"/>
      <c r="AJ45" s="1123"/>
      <c r="AK45" s="1123"/>
      <c r="AL45" s="1123"/>
      <c r="AM45" s="1123"/>
    </row>
    <row r="46" spans="1:39" s="86" customFormat="1" ht="15" customHeight="1">
      <c r="A46" s="781"/>
      <c r="B46" s="781"/>
      <c r="C46" s="781"/>
      <c r="D46" s="781"/>
      <c r="E46" s="781"/>
      <c r="F46" s="781"/>
      <c r="G46" s="781"/>
      <c r="H46" s="781"/>
      <c r="I46" s="781"/>
      <c r="J46" s="781"/>
      <c r="K46" s="662"/>
      <c r="L46" s="1124"/>
      <c r="M46" s="1124"/>
      <c r="N46" s="1124"/>
      <c r="O46" s="1124"/>
      <c r="P46" s="1124"/>
      <c r="Q46" s="1124"/>
      <c r="R46" s="1124"/>
      <c r="S46" s="1125"/>
      <c r="T46" s="1125"/>
      <c r="U46" s="1125"/>
      <c r="V46" s="1125"/>
      <c r="W46" s="1125"/>
      <c r="X46" s="1125"/>
      <c r="Y46" s="1125"/>
      <c r="Z46" s="1125"/>
      <c r="AA46" s="1125"/>
      <c r="AB46" s="1125"/>
      <c r="AC46" s="1125"/>
      <c r="AD46" s="1125"/>
      <c r="AE46" s="1125"/>
      <c r="AF46" s="1125"/>
      <c r="AG46" s="1125"/>
      <c r="AH46" s="1125"/>
      <c r="AI46" s="1125"/>
      <c r="AJ46" s="1125"/>
      <c r="AK46" s="1125"/>
      <c r="AL46" s="1125"/>
      <c r="AM46" s="1125"/>
    </row>
    <row r="47" spans="1:39">
      <c r="A47" s="854"/>
      <c r="B47" s="854"/>
      <c r="C47" s="854"/>
      <c r="D47" s="854"/>
      <c r="E47" s="854"/>
      <c r="F47" s="854"/>
      <c r="G47" s="854"/>
      <c r="H47" s="854"/>
      <c r="I47" s="854"/>
      <c r="J47" s="854"/>
      <c r="K47" s="854"/>
      <c r="L47" s="854"/>
      <c r="M47" s="854"/>
      <c r="N47" s="854"/>
      <c r="O47" s="854"/>
      <c r="P47" s="854"/>
      <c r="Q47" s="854"/>
      <c r="R47" s="854"/>
      <c r="S47" s="854"/>
      <c r="T47" s="854"/>
      <c r="U47" s="854"/>
      <c r="V47" s="854"/>
      <c r="W47" s="854"/>
      <c r="X47" s="854"/>
      <c r="Y47" s="854"/>
      <c r="Z47" s="854"/>
      <c r="AA47" s="854"/>
      <c r="AB47" s="854"/>
      <c r="AC47" s="854"/>
      <c r="AD47" s="854"/>
      <c r="AE47" s="854"/>
      <c r="AF47" s="854"/>
      <c r="AG47" s="854"/>
      <c r="AH47" s="854"/>
      <c r="AI47" s="854"/>
      <c r="AJ47" s="854"/>
      <c r="AK47" s="854"/>
      <c r="AL47" s="854"/>
      <c r="AM47" s="854"/>
    </row>
    <row r="48" spans="1:39">
      <c r="A48" s="854"/>
      <c r="B48" s="854"/>
      <c r="C48" s="854"/>
      <c r="D48" s="854"/>
      <c r="E48" s="854"/>
      <c r="F48" s="854"/>
      <c r="G48" s="854"/>
      <c r="H48" s="854"/>
      <c r="I48" s="854"/>
      <c r="J48" s="854"/>
      <c r="K48" s="854"/>
      <c r="L48" s="854"/>
      <c r="M48" s="854"/>
      <c r="N48" s="854"/>
      <c r="O48" s="854"/>
      <c r="P48" s="854"/>
      <c r="Q48" s="854"/>
      <c r="R48" s="854"/>
      <c r="S48" s="854"/>
      <c r="T48" s="854"/>
      <c r="U48" s="854"/>
      <c r="V48" s="854"/>
      <c r="W48" s="854"/>
      <c r="X48" s="854"/>
      <c r="Y48" s="854"/>
      <c r="Z48" s="854"/>
      <c r="AA48" s="854"/>
      <c r="AB48" s="854"/>
      <c r="AC48" s="854"/>
      <c r="AD48" s="854"/>
      <c r="AE48" s="854"/>
      <c r="AF48" s="854"/>
      <c r="AG48" s="854"/>
      <c r="AH48" s="854"/>
      <c r="AI48" s="854"/>
      <c r="AJ48" s="854"/>
      <c r="AK48" s="854"/>
      <c r="AL48" s="854"/>
      <c r="AM48" s="854"/>
    </row>
    <row r="49" spans="1:39">
      <c r="A49" s="854"/>
      <c r="B49" s="854"/>
      <c r="C49" s="854"/>
      <c r="D49" s="854"/>
      <c r="E49" s="854"/>
      <c r="F49" s="854"/>
      <c r="G49" s="854"/>
      <c r="H49" s="854"/>
      <c r="I49" s="854"/>
      <c r="J49" s="854"/>
      <c r="K49" s="854"/>
      <c r="L49" s="854"/>
      <c r="M49" s="854"/>
      <c r="N49" s="854"/>
      <c r="O49" s="854"/>
      <c r="P49" s="854"/>
      <c r="Q49" s="854"/>
      <c r="R49" s="854"/>
      <c r="S49" s="854"/>
      <c r="T49" s="854"/>
      <c r="U49" s="854"/>
      <c r="V49" s="854"/>
      <c r="W49" s="854"/>
      <c r="X49" s="854"/>
      <c r="Y49" s="854"/>
      <c r="Z49" s="854"/>
      <c r="AA49" s="854"/>
      <c r="AB49" s="854"/>
      <c r="AC49" s="854"/>
      <c r="AD49" s="854"/>
      <c r="AE49" s="854"/>
      <c r="AF49" s="854"/>
      <c r="AG49" s="854"/>
      <c r="AH49" s="854"/>
      <c r="AI49" s="854"/>
      <c r="AJ49" s="854"/>
      <c r="AK49" s="854"/>
      <c r="AL49" s="854"/>
      <c r="AM49" s="854"/>
    </row>
    <row r="50" spans="1:39">
      <c r="A50" s="854"/>
      <c r="B50" s="854"/>
      <c r="C50" s="854"/>
      <c r="D50" s="854"/>
      <c r="E50" s="854"/>
      <c r="F50" s="854"/>
      <c r="G50" s="854"/>
      <c r="H50" s="854"/>
      <c r="I50" s="854"/>
      <c r="J50" s="854"/>
      <c r="K50" s="854"/>
      <c r="L50" s="854"/>
      <c r="M50" s="854"/>
      <c r="N50" s="854"/>
      <c r="O50" s="854"/>
      <c r="P50" s="854"/>
      <c r="Q50" s="854"/>
      <c r="R50" s="854"/>
      <c r="S50" s="854"/>
      <c r="T50" s="854"/>
      <c r="U50" s="854"/>
      <c r="V50" s="854"/>
      <c r="W50" s="854"/>
      <c r="X50" s="854"/>
      <c r="Y50" s="854"/>
      <c r="Z50" s="854"/>
      <c r="AA50" s="854"/>
      <c r="AB50" s="854"/>
      <c r="AC50" s="854"/>
      <c r="AD50" s="854"/>
      <c r="AE50" s="854"/>
      <c r="AF50" s="854"/>
      <c r="AG50" s="854"/>
      <c r="AH50" s="854"/>
      <c r="AI50" s="854"/>
      <c r="AJ50" s="854"/>
      <c r="AK50" s="854"/>
      <c r="AL50" s="854"/>
      <c r="AM50" s="854"/>
    </row>
    <row r="51" spans="1:39">
      <c r="A51" s="854"/>
      <c r="B51" s="854"/>
      <c r="C51" s="854"/>
      <c r="D51" s="854"/>
      <c r="E51" s="854"/>
      <c r="F51" s="854"/>
      <c r="G51" s="854"/>
      <c r="H51" s="854"/>
      <c r="I51" s="854"/>
      <c r="J51" s="854"/>
      <c r="K51" s="854"/>
      <c r="L51" s="854"/>
      <c r="M51" s="854"/>
      <c r="N51" s="854"/>
      <c r="O51" s="854"/>
      <c r="P51" s="854"/>
      <c r="Q51" s="854"/>
      <c r="R51" s="854"/>
      <c r="S51" s="854"/>
      <c r="T51" s="854"/>
      <c r="U51" s="854"/>
      <c r="V51" s="854"/>
      <c r="W51" s="854"/>
      <c r="X51" s="854"/>
      <c r="Y51" s="854"/>
      <c r="Z51" s="854"/>
      <c r="AA51" s="854"/>
      <c r="AB51" s="854"/>
      <c r="AC51" s="854"/>
      <c r="AD51" s="854"/>
      <c r="AE51" s="854"/>
      <c r="AF51" s="854"/>
      <c r="AG51" s="854"/>
      <c r="AH51" s="854"/>
      <c r="AI51" s="854"/>
      <c r="AJ51" s="854"/>
      <c r="AK51" s="854"/>
      <c r="AL51" s="854"/>
      <c r="AM51" s="854"/>
    </row>
    <row r="52" spans="1:39">
      <c r="A52" s="854"/>
      <c r="B52" s="854"/>
      <c r="C52" s="854"/>
      <c r="D52" s="854"/>
      <c r="E52" s="854"/>
      <c r="F52" s="854"/>
      <c r="G52" s="854"/>
      <c r="H52" s="854"/>
      <c r="I52" s="854"/>
      <c r="J52" s="854"/>
      <c r="K52" s="854"/>
      <c r="L52" s="854"/>
      <c r="M52" s="863"/>
      <c r="N52" s="854"/>
      <c r="O52" s="854"/>
      <c r="P52" s="854"/>
      <c r="Q52" s="854"/>
      <c r="R52" s="854"/>
      <c r="S52" s="854"/>
      <c r="T52" s="854"/>
      <c r="U52" s="854"/>
      <c r="V52" s="854"/>
      <c r="W52" s="854"/>
      <c r="X52" s="854"/>
      <c r="Y52" s="854"/>
      <c r="Z52" s="854"/>
      <c r="AA52" s="854"/>
      <c r="AB52" s="854"/>
      <c r="AC52" s="854"/>
      <c r="AD52" s="854"/>
      <c r="AE52" s="854"/>
      <c r="AF52" s="854"/>
      <c r="AG52" s="854"/>
      <c r="AH52" s="854"/>
      <c r="AI52" s="854"/>
      <c r="AJ52" s="854"/>
      <c r="AK52" s="854"/>
      <c r="AL52" s="854"/>
      <c r="AM52" s="854"/>
    </row>
    <row r="53" spans="1:39">
      <c r="A53" s="854"/>
      <c r="B53" s="854"/>
      <c r="C53" s="854"/>
      <c r="D53" s="854"/>
      <c r="E53" s="854"/>
      <c r="F53" s="854"/>
      <c r="G53" s="854"/>
      <c r="H53" s="854"/>
      <c r="I53" s="854"/>
      <c r="J53" s="854"/>
      <c r="K53" s="854"/>
      <c r="L53" s="854"/>
      <c r="M53" s="864"/>
      <c r="N53" s="854"/>
      <c r="O53" s="854"/>
      <c r="P53" s="854"/>
      <c r="Q53" s="854"/>
      <c r="R53" s="854"/>
      <c r="S53" s="854"/>
      <c r="T53" s="854"/>
      <c r="U53" s="854"/>
      <c r="V53" s="854"/>
      <c r="W53" s="854"/>
      <c r="X53" s="854"/>
      <c r="Y53" s="854"/>
      <c r="Z53" s="854"/>
      <c r="AA53" s="854"/>
      <c r="AB53" s="854"/>
      <c r="AC53" s="854"/>
      <c r="AD53" s="854"/>
      <c r="AE53" s="854"/>
      <c r="AF53" s="854"/>
      <c r="AG53" s="854"/>
      <c r="AH53" s="854"/>
      <c r="AI53" s="854"/>
      <c r="AJ53" s="854"/>
      <c r="AK53" s="854"/>
      <c r="AL53" s="854"/>
      <c r="AM53" s="854"/>
    </row>
    <row r="54" spans="1:39">
      <c r="A54" s="854"/>
      <c r="B54" s="854"/>
      <c r="C54" s="854"/>
      <c r="D54" s="854"/>
      <c r="E54" s="854"/>
      <c r="F54" s="854"/>
      <c r="G54" s="854"/>
      <c r="H54" s="854"/>
      <c r="I54" s="854"/>
      <c r="J54" s="854"/>
      <c r="K54" s="854"/>
      <c r="L54" s="854"/>
      <c r="M54" s="864"/>
      <c r="N54" s="854"/>
      <c r="O54" s="854"/>
      <c r="P54" s="854"/>
      <c r="Q54" s="854"/>
      <c r="R54" s="854"/>
      <c r="S54" s="854"/>
      <c r="T54" s="854"/>
      <c r="U54" s="854"/>
      <c r="V54" s="854"/>
      <c r="W54" s="854"/>
      <c r="X54" s="854"/>
      <c r="Y54" s="854"/>
      <c r="Z54" s="854"/>
      <c r="AA54" s="854"/>
      <c r="AB54" s="854"/>
      <c r="AC54" s="854"/>
      <c r="AD54" s="854"/>
      <c r="AE54" s="854"/>
      <c r="AF54" s="854"/>
      <c r="AG54" s="854"/>
      <c r="AH54" s="854"/>
      <c r="AI54" s="854"/>
      <c r="AJ54" s="854"/>
      <c r="AK54" s="854"/>
      <c r="AL54" s="854"/>
      <c r="AM54" s="854"/>
    </row>
    <row r="55" spans="1:39">
      <c r="A55" s="854"/>
      <c r="B55" s="854"/>
      <c r="C55" s="854"/>
      <c r="D55" s="854"/>
      <c r="E55" s="854"/>
      <c r="F55" s="854"/>
      <c r="G55" s="854"/>
      <c r="H55" s="854"/>
      <c r="I55" s="854"/>
      <c r="J55" s="854"/>
      <c r="K55" s="854"/>
      <c r="L55" s="854"/>
      <c r="M55" s="864"/>
      <c r="N55" s="854"/>
      <c r="O55" s="854"/>
      <c r="P55" s="854"/>
      <c r="Q55" s="854"/>
      <c r="R55" s="854"/>
      <c r="S55" s="854"/>
      <c r="T55" s="854"/>
      <c r="U55" s="854"/>
      <c r="V55" s="854"/>
      <c r="W55" s="854"/>
      <c r="X55" s="854"/>
      <c r="Y55" s="854"/>
      <c r="Z55" s="854"/>
      <c r="AA55" s="854"/>
      <c r="AB55" s="854"/>
      <c r="AC55" s="854"/>
      <c r="AD55" s="854"/>
      <c r="AE55" s="854"/>
      <c r="AF55" s="854"/>
      <c r="AG55" s="854"/>
      <c r="AH55" s="854"/>
      <c r="AI55" s="854"/>
      <c r="AJ55" s="854"/>
      <c r="AK55" s="854"/>
      <c r="AL55" s="854"/>
      <c r="AM55" s="854"/>
    </row>
    <row r="56" spans="1:39">
      <c r="A56" s="854"/>
      <c r="B56" s="854"/>
      <c r="C56" s="854"/>
      <c r="D56" s="854"/>
      <c r="E56" s="854"/>
      <c r="F56" s="854"/>
      <c r="G56" s="854"/>
      <c r="H56" s="854"/>
      <c r="I56" s="854"/>
      <c r="J56" s="854"/>
      <c r="K56" s="854"/>
      <c r="L56" s="854"/>
      <c r="M56" s="864"/>
      <c r="N56" s="854"/>
      <c r="O56" s="854"/>
      <c r="P56" s="854"/>
      <c r="Q56" s="854"/>
      <c r="R56" s="854"/>
      <c r="S56" s="854"/>
      <c r="T56" s="854"/>
      <c r="U56" s="854"/>
      <c r="V56" s="854"/>
      <c r="W56" s="854"/>
      <c r="X56" s="854"/>
      <c r="Y56" s="854"/>
      <c r="Z56" s="854"/>
      <c r="AA56" s="854"/>
      <c r="AB56" s="854"/>
      <c r="AC56" s="854"/>
      <c r="AD56" s="854"/>
      <c r="AE56" s="854"/>
      <c r="AF56" s="854"/>
      <c r="AG56" s="854"/>
      <c r="AH56" s="854"/>
      <c r="AI56" s="854"/>
      <c r="AJ56" s="854"/>
      <c r="AK56" s="854"/>
      <c r="AL56" s="854"/>
      <c r="AM56" s="854"/>
    </row>
    <row r="57" spans="1:39">
      <c r="A57" s="854"/>
      <c r="B57" s="854"/>
      <c r="C57" s="854"/>
      <c r="D57" s="854"/>
      <c r="E57" s="854"/>
      <c r="F57" s="854"/>
      <c r="G57" s="854"/>
      <c r="H57" s="854"/>
      <c r="I57" s="854"/>
      <c r="J57" s="854"/>
      <c r="K57" s="854"/>
      <c r="L57" s="854"/>
      <c r="M57" s="864"/>
      <c r="N57" s="854"/>
      <c r="O57" s="854"/>
      <c r="P57" s="854"/>
      <c r="Q57" s="854"/>
      <c r="R57" s="854"/>
      <c r="S57" s="854"/>
      <c r="T57" s="854"/>
      <c r="U57" s="854"/>
      <c r="V57" s="854"/>
      <c r="W57" s="854"/>
      <c r="X57" s="854"/>
      <c r="Y57" s="854"/>
      <c r="Z57" s="854"/>
      <c r="AA57" s="854"/>
      <c r="AB57" s="854"/>
      <c r="AC57" s="854"/>
      <c r="AD57" s="854"/>
      <c r="AE57" s="854"/>
      <c r="AF57" s="854"/>
      <c r="AG57" s="854"/>
      <c r="AH57" s="854"/>
      <c r="AI57" s="854"/>
      <c r="AJ57" s="854"/>
      <c r="AK57" s="854"/>
      <c r="AL57" s="854"/>
      <c r="AM57" s="854"/>
    </row>
    <row r="58" spans="1:39">
      <c r="A58" s="854"/>
      <c r="B58" s="854"/>
      <c r="C58" s="854"/>
      <c r="D58" s="854"/>
      <c r="E58" s="854"/>
      <c r="F58" s="854"/>
      <c r="G58" s="854"/>
      <c r="H58" s="854"/>
      <c r="I58" s="854"/>
      <c r="J58" s="854"/>
      <c r="K58" s="854"/>
      <c r="L58" s="854"/>
      <c r="M58" s="86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854"/>
      <c r="AM58" s="854"/>
    </row>
    <row r="59" spans="1:39">
      <c r="A59" s="854"/>
      <c r="B59" s="854"/>
      <c r="C59" s="854"/>
      <c r="D59" s="854"/>
      <c r="E59" s="854"/>
      <c r="F59" s="854"/>
      <c r="G59" s="854"/>
      <c r="H59" s="854"/>
      <c r="I59" s="854"/>
      <c r="J59" s="854"/>
      <c r="K59" s="854"/>
      <c r="L59" s="854"/>
      <c r="M59" s="864"/>
      <c r="N59" s="854"/>
      <c r="O59" s="854"/>
      <c r="P59" s="854"/>
      <c r="Q59" s="854"/>
      <c r="R59" s="854"/>
      <c r="S59" s="854"/>
      <c r="T59" s="854"/>
      <c r="U59" s="854"/>
      <c r="V59" s="854"/>
      <c r="W59" s="854"/>
      <c r="X59" s="854"/>
      <c r="Y59" s="854"/>
      <c r="Z59" s="854"/>
      <c r="AA59" s="854"/>
      <c r="AB59" s="854"/>
      <c r="AC59" s="854"/>
      <c r="AD59" s="854"/>
      <c r="AE59" s="854"/>
      <c r="AF59" s="854"/>
      <c r="AG59" s="854"/>
      <c r="AH59" s="854"/>
      <c r="AI59" s="854"/>
      <c r="AJ59" s="854"/>
      <c r="AK59" s="854"/>
      <c r="AL59" s="854"/>
      <c r="AM59" s="854"/>
    </row>
    <row r="60" spans="1:39">
      <c r="A60" s="854"/>
      <c r="B60" s="854"/>
      <c r="C60" s="854"/>
      <c r="D60" s="854"/>
      <c r="E60" s="854"/>
      <c r="F60" s="854"/>
      <c r="G60" s="854"/>
      <c r="H60" s="854"/>
      <c r="I60" s="854"/>
      <c r="J60" s="854"/>
      <c r="K60" s="854"/>
      <c r="L60" s="854"/>
      <c r="M60" s="864"/>
      <c r="N60" s="854"/>
      <c r="O60" s="854"/>
      <c r="P60" s="854"/>
      <c r="Q60" s="854"/>
      <c r="R60" s="854"/>
      <c r="S60" s="854"/>
      <c r="T60" s="854"/>
      <c r="U60" s="854"/>
      <c r="V60" s="854"/>
      <c r="W60" s="854"/>
      <c r="X60" s="854"/>
      <c r="Y60" s="854"/>
      <c r="Z60" s="854"/>
      <c r="AA60" s="854"/>
      <c r="AB60" s="854"/>
      <c r="AC60" s="854"/>
      <c r="AD60" s="854"/>
      <c r="AE60" s="854"/>
      <c r="AF60" s="854"/>
      <c r="AG60" s="854"/>
      <c r="AH60" s="854"/>
      <c r="AI60" s="854"/>
      <c r="AJ60" s="854"/>
      <c r="AK60" s="854"/>
      <c r="AL60" s="854"/>
      <c r="AM60" s="854"/>
    </row>
    <row r="61" spans="1:39">
      <c r="A61" s="854"/>
      <c r="B61" s="854"/>
      <c r="C61" s="854"/>
      <c r="D61" s="854"/>
      <c r="E61" s="854"/>
      <c r="F61" s="854"/>
      <c r="G61" s="854"/>
      <c r="H61" s="854"/>
      <c r="I61" s="854"/>
      <c r="J61" s="854"/>
      <c r="K61" s="854"/>
      <c r="L61" s="854"/>
      <c r="M61" s="864"/>
      <c r="N61" s="854"/>
      <c r="O61" s="854"/>
      <c r="P61" s="854"/>
      <c r="Q61" s="854"/>
      <c r="R61" s="854"/>
      <c r="S61" s="854"/>
      <c r="T61" s="854"/>
      <c r="U61" s="854"/>
      <c r="V61" s="854"/>
      <c r="W61" s="854"/>
      <c r="X61" s="854"/>
      <c r="Y61" s="854"/>
      <c r="Z61" s="854"/>
      <c r="AA61" s="854"/>
      <c r="AB61" s="854"/>
      <c r="AC61" s="854"/>
      <c r="AD61" s="854"/>
      <c r="AE61" s="854"/>
      <c r="AF61" s="854"/>
      <c r="AG61" s="854"/>
      <c r="AH61" s="854"/>
      <c r="AI61" s="854"/>
      <c r="AJ61" s="854"/>
      <c r="AK61" s="854"/>
      <c r="AL61" s="854"/>
      <c r="AM61" s="854"/>
    </row>
  </sheetData>
  <sheetProtection formatColumns="0" formatRows="0" autoFilter="0"/>
  <mergeCells count="6">
    <mergeCell ref="L45:AM45"/>
    <mergeCell ref="L46:AM46"/>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19 AM21 AM23 AM25 AM27:AM29 AM31 AM33 AM35 AM37 AM41:AM43 AM39">
      <formula1>900</formula1>
    </dataValidation>
    <dataValidation type="decimal" allowBlank="1" showErrorMessage="1" errorTitle="Ошибка" error="Допускается ввод только неотрицательных чисел!" sqref="O27:AL29 O41:AL43">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sheetPr>
  <dimension ref="A1:AM43"/>
  <sheetViews>
    <sheetView showGridLines="0" view="pageBreakPreview" zoomScale="60" zoomScaleNormal="100" workbookViewId="0">
      <pane xSplit="14" ySplit="15" topLeftCell="O31" activePane="bottomRight" state="frozen"/>
      <selection activeCell="M11" sqref="M11"/>
      <selection pane="topRight" activeCell="M11" sqref="M11"/>
      <selection pane="bottomLeft" activeCell="M11" sqref="M11"/>
      <selection pane="bottomRight" activeCell="M47" sqref="M47"/>
    </sheetView>
  </sheetViews>
  <sheetFormatPr defaultColWidth="9.125" defaultRowHeight="11.4"/>
  <cols>
    <col min="1" max="10" width="3.875" style="94" hidden="1" customWidth="1"/>
    <col min="11" max="11" width="3.75" style="94" hidden="1" customWidth="1"/>
    <col min="12" max="12" width="6.75" style="94" customWidth="1"/>
    <col min="13" max="13" width="35.75" style="94" customWidth="1"/>
    <col min="14" max="14" width="12.75" style="94" customWidth="1"/>
    <col min="15" max="19" width="13.25" style="94" customWidth="1"/>
    <col min="20" max="28" width="13.25" style="94" hidden="1" customWidth="1"/>
    <col min="29" max="29" width="13.25" style="94" customWidth="1"/>
    <col min="30" max="38" width="13.25" style="94" hidden="1" customWidth="1"/>
    <col min="39" max="39" width="20.75" style="94" customWidth="1"/>
    <col min="40" max="16384" width="9.125" style="94"/>
  </cols>
  <sheetData>
    <row r="1" spans="1:39" hidden="1">
      <c r="A1" s="840"/>
      <c r="B1" s="840"/>
      <c r="C1" s="840"/>
      <c r="D1" s="840"/>
      <c r="E1" s="840"/>
      <c r="F1" s="840"/>
      <c r="G1" s="840"/>
      <c r="H1" s="840"/>
      <c r="I1" s="840"/>
      <c r="J1" s="840"/>
      <c r="K1" s="840"/>
      <c r="L1" s="840"/>
      <c r="M1" s="840"/>
      <c r="N1" s="840"/>
      <c r="O1" s="840">
        <v>2022</v>
      </c>
      <c r="P1" s="840">
        <v>2022</v>
      </c>
      <c r="Q1" s="840">
        <v>2022</v>
      </c>
      <c r="R1" s="840">
        <v>2023</v>
      </c>
      <c r="S1" s="781">
        <v>2024</v>
      </c>
      <c r="T1" s="781">
        <v>2025</v>
      </c>
      <c r="U1" s="781">
        <v>2026</v>
      </c>
      <c r="V1" s="781">
        <v>2027</v>
      </c>
      <c r="W1" s="781">
        <v>2028</v>
      </c>
      <c r="X1" s="781">
        <v>2029</v>
      </c>
      <c r="Y1" s="781">
        <v>2030</v>
      </c>
      <c r="Z1" s="781">
        <v>2031</v>
      </c>
      <c r="AA1" s="781">
        <v>2032</v>
      </c>
      <c r="AB1" s="781">
        <v>2033</v>
      </c>
      <c r="AC1" s="781">
        <v>2024</v>
      </c>
      <c r="AD1" s="781">
        <v>2025</v>
      </c>
      <c r="AE1" s="781">
        <v>2026</v>
      </c>
      <c r="AF1" s="781">
        <v>2027</v>
      </c>
      <c r="AG1" s="781">
        <v>2028</v>
      </c>
      <c r="AH1" s="781">
        <v>2029</v>
      </c>
      <c r="AI1" s="781">
        <v>2030</v>
      </c>
      <c r="AJ1" s="781">
        <v>2031</v>
      </c>
      <c r="AK1" s="781">
        <v>2032</v>
      </c>
      <c r="AL1" s="781">
        <v>2033</v>
      </c>
      <c r="AM1" s="840"/>
    </row>
    <row r="2" spans="1:39" hidden="1">
      <c r="A2" s="840"/>
      <c r="B2" s="840"/>
      <c r="C2" s="840"/>
      <c r="D2" s="840"/>
      <c r="E2" s="840"/>
      <c r="F2" s="840"/>
      <c r="G2" s="840"/>
      <c r="H2" s="840"/>
      <c r="I2" s="840"/>
      <c r="J2" s="840"/>
      <c r="K2" s="840"/>
      <c r="L2" s="840"/>
      <c r="M2" s="840"/>
      <c r="N2" s="840"/>
      <c r="O2" s="840" t="s">
        <v>268</v>
      </c>
      <c r="P2" s="840" t="s">
        <v>306</v>
      </c>
      <c r="Q2" s="840" t="s">
        <v>286</v>
      </c>
      <c r="R2" s="840" t="s">
        <v>268</v>
      </c>
      <c r="S2" s="840" t="s">
        <v>269</v>
      </c>
      <c r="T2" s="840" t="s">
        <v>269</v>
      </c>
      <c r="U2" s="840" t="s">
        <v>269</v>
      </c>
      <c r="V2" s="840" t="s">
        <v>269</v>
      </c>
      <c r="W2" s="840" t="s">
        <v>269</v>
      </c>
      <c r="X2" s="840" t="s">
        <v>269</v>
      </c>
      <c r="Y2" s="840" t="s">
        <v>269</v>
      </c>
      <c r="Z2" s="840" t="s">
        <v>269</v>
      </c>
      <c r="AA2" s="840" t="s">
        <v>269</v>
      </c>
      <c r="AB2" s="840" t="s">
        <v>269</v>
      </c>
      <c r="AC2" s="840" t="s">
        <v>268</v>
      </c>
      <c r="AD2" s="840" t="s">
        <v>268</v>
      </c>
      <c r="AE2" s="840" t="s">
        <v>268</v>
      </c>
      <c r="AF2" s="840" t="s">
        <v>268</v>
      </c>
      <c r="AG2" s="840" t="s">
        <v>268</v>
      </c>
      <c r="AH2" s="840" t="s">
        <v>268</v>
      </c>
      <c r="AI2" s="840" t="s">
        <v>268</v>
      </c>
      <c r="AJ2" s="840" t="s">
        <v>268</v>
      </c>
      <c r="AK2" s="840" t="s">
        <v>268</v>
      </c>
      <c r="AL2" s="840" t="s">
        <v>268</v>
      </c>
      <c r="AM2" s="840"/>
    </row>
    <row r="3" spans="1:39" hidden="1">
      <c r="A3" s="840"/>
      <c r="B3" s="840"/>
      <c r="C3" s="840"/>
      <c r="D3" s="840"/>
      <c r="E3" s="840"/>
      <c r="F3" s="840"/>
      <c r="G3" s="840"/>
      <c r="H3" s="840"/>
      <c r="I3" s="840"/>
      <c r="J3" s="840"/>
      <c r="K3" s="840"/>
      <c r="L3" s="840"/>
      <c r="M3" s="840"/>
      <c r="N3" s="840"/>
      <c r="O3" s="840"/>
      <c r="P3" s="840"/>
      <c r="Q3" s="840"/>
      <c r="R3" s="840"/>
      <c r="S3" s="781"/>
      <c r="T3" s="781"/>
      <c r="U3" s="781"/>
      <c r="V3" s="781"/>
      <c r="W3" s="781"/>
      <c r="X3" s="781"/>
      <c r="Y3" s="781"/>
      <c r="Z3" s="781"/>
      <c r="AA3" s="781"/>
      <c r="AB3" s="781"/>
      <c r="AC3" s="781"/>
      <c r="AD3" s="781"/>
      <c r="AE3" s="781"/>
      <c r="AF3" s="781"/>
      <c r="AG3" s="781"/>
      <c r="AH3" s="781"/>
      <c r="AI3" s="781"/>
      <c r="AJ3" s="781"/>
      <c r="AK3" s="781"/>
      <c r="AL3" s="781"/>
      <c r="AM3" s="840"/>
    </row>
    <row r="4" spans="1:39" hidden="1">
      <c r="A4" s="840"/>
      <c r="B4" s="840"/>
      <c r="C4" s="840"/>
      <c r="D4" s="840"/>
      <c r="E4" s="840"/>
      <c r="F4" s="840"/>
      <c r="G4" s="840"/>
      <c r="H4" s="840"/>
      <c r="I4" s="840"/>
      <c r="J4" s="840"/>
      <c r="K4" s="840"/>
      <c r="L4" s="840"/>
      <c r="M4" s="840"/>
      <c r="N4" s="840"/>
      <c r="O4" s="840"/>
      <c r="P4" s="840"/>
      <c r="Q4" s="840"/>
      <c r="R4" s="840"/>
      <c r="S4" s="781"/>
      <c r="T4" s="781"/>
      <c r="U4" s="781"/>
      <c r="V4" s="781"/>
      <c r="W4" s="781"/>
      <c r="X4" s="781"/>
      <c r="Y4" s="781"/>
      <c r="Z4" s="781"/>
      <c r="AA4" s="781"/>
      <c r="AB4" s="781"/>
      <c r="AC4" s="781"/>
      <c r="AD4" s="781"/>
      <c r="AE4" s="781"/>
      <c r="AF4" s="781"/>
      <c r="AG4" s="781"/>
      <c r="AH4" s="781"/>
      <c r="AI4" s="781"/>
      <c r="AJ4" s="781"/>
      <c r="AK4" s="781"/>
      <c r="AL4" s="781"/>
      <c r="AM4" s="840"/>
    </row>
    <row r="5" spans="1:39" hidden="1">
      <c r="A5" s="840"/>
      <c r="B5" s="840"/>
      <c r="C5" s="840"/>
      <c r="D5" s="840"/>
      <c r="E5" s="840"/>
      <c r="F5" s="840"/>
      <c r="G5" s="840"/>
      <c r="H5" s="840"/>
      <c r="I5" s="840"/>
      <c r="J5" s="840"/>
      <c r="K5" s="840"/>
      <c r="L5" s="840"/>
      <c r="M5" s="840"/>
      <c r="N5" s="840"/>
      <c r="O5" s="840"/>
      <c r="P5" s="840"/>
      <c r="Q5" s="840"/>
      <c r="R5" s="840"/>
      <c r="S5" s="781"/>
      <c r="T5" s="781"/>
      <c r="U5" s="781"/>
      <c r="V5" s="781"/>
      <c r="W5" s="781"/>
      <c r="X5" s="781"/>
      <c r="Y5" s="781"/>
      <c r="Z5" s="781"/>
      <c r="AA5" s="781"/>
      <c r="AB5" s="781"/>
      <c r="AC5" s="781"/>
      <c r="AD5" s="781"/>
      <c r="AE5" s="781"/>
      <c r="AF5" s="781"/>
      <c r="AG5" s="781"/>
      <c r="AH5" s="781"/>
      <c r="AI5" s="781"/>
      <c r="AJ5" s="781"/>
      <c r="AK5" s="781"/>
      <c r="AL5" s="781"/>
      <c r="AM5" s="840"/>
    </row>
    <row r="6" spans="1:39" hidden="1">
      <c r="A6" s="840"/>
      <c r="B6" s="840"/>
      <c r="C6" s="840"/>
      <c r="D6" s="840"/>
      <c r="E6" s="840"/>
      <c r="F6" s="840"/>
      <c r="G6" s="840"/>
      <c r="H6" s="840"/>
      <c r="I6" s="840"/>
      <c r="J6" s="840"/>
      <c r="K6" s="840"/>
      <c r="L6" s="840"/>
      <c r="M6" s="840"/>
      <c r="N6" s="840"/>
      <c r="O6" s="840"/>
      <c r="P6" s="840"/>
      <c r="Q6" s="840"/>
      <c r="R6" s="840"/>
      <c r="S6" s="781"/>
      <c r="T6" s="781"/>
      <c r="U6" s="781"/>
      <c r="V6" s="781"/>
      <c r="W6" s="781"/>
      <c r="X6" s="781"/>
      <c r="Y6" s="781"/>
      <c r="Z6" s="781"/>
      <c r="AA6" s="781"/>
      <c r="AB6" s="781"/>
      <c r="AC6" s="781"/>
      <c r="AD6" s="781"/>
      <c r="AE6" s="781"/>
      <c r="AF6" s="781"/>
      <c r="AG6" s="781"/>
      <c r="AH6" s="781"/>
      <c r="AI6" s="781"/>
      <c r="AJ6" s="781"/>
      <c r="AK6" s="781"/>
      <c r="AL6" s="781"/>
      <c r="AM6" s="840"/>
    </row>
    <row r="7" spans="1:39" hidden="1">
      <c r="A7" s="840"/>
      <c r="B7" s="840"/>
      <c r="C7" s="840"/>
      <c r="D7" s="840"/>
      <c r="E7" s="840"/>
      <c r="F7" s="840"/>
      <c r="G7" s="840"/>
      <c r="H7" s="840"/>
      <c r="I7" s="840"/>
      <c r="J7" s="840"/>
      <c r="K7" s="840"/>
      <c r="L7" s="840"/>
      <c r="M7" s="840"/>
      <c r="N7" s="840"/>
      <c r="O7" s="840"/>
      <c r="P7" s="840"/>
      <c r="Q7" s="840"/>
      <c r="R7" s="840"/>
      <c r="S7" s="731" t="b">
        <v>1</v>
      </c>
      <c r="T7" s="731" t="b">
        <v>0</v>
      </c>
      <c r="U7" s="731" t="b">
        <v>0</v>
      </c>
      <c r="V7" s="731" t="b">
        <v>0</v>
      </c>
      <c r="W7" s="731" t="b">
        <v>0</v>
      </c>
      <c r="X7" s="731" t="b">
        <v>0</v>
      </c>
      <c r="Y7" s="731" t="b">
        <v>0</v>
      </c>
      <c r="Z7" s="731" t="b">
        <v>0</v>
      </c>
      <c r="AA7" s="731" t="b">
        <v>0</v>
      </c>
      <c r="AB7" s="731" t="b">
        <v>0</v>
      </c>
      <c r="AC7" s="731" t="b">
        <v>1</v>
      </c>
      <c r="AD7" s="731" t="b">
        <v>0</v>
      </c>
      <c r="AE7" s="731" t="b">
        <v>0</v>
      </c>
      <c r="AF7" s="731" t="b">
        <v>0</v>
      </c>
      <c r="AG7" s="731" t="b">
        <v>0</v>
      </c>
      <c r="AH7" s="731" t="b">
        <v>0</v>
      </c>
      <c r="AI7" s="731" t="b">
        <v>0</v>
      </c>
      <c r="AJ7" s="731" t="b">
        <v>0</v>
      </c>
      <c r="AK7" s="731" t="b">
        <v>0</v>
      </c>
      <c r="AL7" s="731" t="b">
        <v>0</v>
      </c>
      <c r="AM7" s="840"/>
    </row>
    <row r="8" spans="1:39" hidden="1">
      <c r="A8" s="840"/>
      <c r="B8" s="840"/>
      <c r="C8" s="840"/>
      <c r="D8" s="840"/>
      <c r="E8" s="840"/>
      <c r="F8" s="840"/>
      <c r="G8" s="840"/>
      <c r="H8" s="840"/>
      <c r="I8" s="840"/>
      <c r="J8" s="840"/>
      <c r="K8" s="840"/>
      <c r="L8" s="840"/>
      <c r="M8" s="840"/>
      <c r="N8" s="840"/>
      <c r="O8" s="840"/>
      <c r="P8" s="840"/>
      <c r="Q8" s="840"/>
      <c r="R8" s="840"/>
      <c r="S8" s="840"/>
      <c r="T8" s="840"/>
      <c r="U8" s="840"/>
      <c r="V8" s="840"/>
      <c r="W8" s="840"/>
      <c r="X8" s="840"/>
      <c r="Y8" s="840"/>
      <c r="Z8" s="840"/>
      <c r="AA8" s="840"/>
      <c r="AB8" s="840"/>
      <c r="AC8" s="840"/>
      <c r="AD8" s="840"/>
      <c r="AE8" s="840"/>
      <c r="AF8" s="840"/>
      <c r="AG8" s="840"/>
      <c r="AH8" s="840"/>
      <c r="AI8" s="840"/>
      <c r="AJ8" s="840"/>
      <c r="AK8" s="840"/>
      <c r="AL8" s="840"/>
      <c r="AM8" s="840"/>
    </row>
    <row r="9" spans="1:39" hidden="1">
      <c r="A9" s="840"/>
      <c r="B9" s="840"/>
      <c r="C9" s="840"/>
      <c r="D9" s="840"/>
      <c r="E9" s="840"/>
      <c r="F9" s="840"/>
      <c r="G9" s="840"/>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row>
    <row r="10" spans="1:39" hidden="1">
      <c r="A10" s="840"/>
      <c r="B10" s="840"/>
      <c r="C10" s="840"/>
      <c r="D10" s="840"/>
      <c r="E10" s="840"/>
      <c r="F10" s="840"/>
      <c r="G10" s="840"/>
      <c r="H10" s="840"/>
      <c r="I10" s="840"/>
      <c r="J10" s="840"/>
      <c r="K10" s="840"/>
      <c r="L10" s="840"/>
      <c r="M10" s="840"/>
      <c r="N10" s="840"/>
      <c r="O10" s="840"/>
      <c r="P10" s="840"/>
      <c r="Q10" s="840"/>
      <c r="R10" s="840"/>
      <c r="S10" s="840"/>
      <c r="T10" s="840"/>
      <c r="U10" s="840"/>
      <c r="V10" s="840"/>
      <c r="W10" s="840"/>
      <c r="X10" s="840"/>
      <c r="Y10" s="840"/>
      <c r="Z10" s="840"/>
      <c r="AA10" s="840"/>
      <c r="AB10" s="840"/>
      <c r="AC10" s="840"/>
      <c r="AD10" s="840"/>
      <c r="AE10" s="840"/>
      <c r="AF10" s="840"/>
      <c r="AG10" s="840"/>
      <c r="AH10" s="840"/>
      <c r="AI10" s="840"/>
      <c r="AJ10" s="840"/>
      <c r="AK10" s="840"/>
      <c r="AL10" s="840"/>
      <c r="AM10" s="840"/>
    </row>
    <row r="11" spans="1:39" ht="15" hidden="1" customHeight="1">
      <c r="A11" s="840"/>
      <c r="B11" s="840"/>
      <c r="C11" s="840"/>
      <c r="D11" s="840"/>
      <c r="E11" s="840"/>
      <c r="F11" s="840"/>
      <c r="G11" s="840"/>
      <c r="H11" s="840"/>
      <c r="I11" s="840"/>
      <c r="J11" s="840"/>
      <c r="K11" s="840"/>
      <c r="L11" s="840"/>
      <c r="M11" s="843"/>
      <c r="N11" s="840"/>
      <c r="O11" s="840"/>
      <c r="P11" s="840"/>
      <c r="Q11" s="840"/>
      <c r="R11" s="840"/>
      <c r="S11" s="840"/>
      <c r="T11" s="840"/>
      <c r="U11" s="840"/>
      <c r="V11" s="840"/>
      <c r="W11" s="840"/>
      <c r="X11" s="840"/>
      <c r="Y11" s="840"/>
      <c r="Z11" s="840"/>
      <c r="AA11" s="840"/>
      <c r="AB11" s="840"/>
      <c r="AC11" s="840"/>
      <c r="AD11" s="840"/>
      <c r="AE11" s="840"/>
      <c r="AF11" s="840"/>
      <c r="AG11" s="840"/>
      <c r="AH11" s="840"/>
      <c r="AI11" s="840"/>
      <c r="AJ11" s="840"/>
      <c r="AK11" s="840"/>
      <c r="AL11" s="840"/>
      <c r="AM11" s="840"/>
    </row>
    <row r="12" spans="1:39" ht="20.100000000000001" customHeight="1">
      <c r="A12" s="840"/>
      <c r="B12" s="840"/>
      <c r="C12" s="840"/>
      <c r="D12" s="840"/>
      <c r="E12" s="840"/>
      <c r="F12" s="840"/>
      <c r="G12" s="840"/>
      <c r="H12" s="840"/>
      <c r="I12" s="840"/>
      <c r="J12" s="840"/>
      <c r="K12" s="840"/>
      <c r="L12" s="418" t="s">
        <v>1249</v>
      </c>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4"/>
    </row>
    <row r="13" spans="1:39">
      <c r="A13" s="840"/>
      <c r="B13" s="840"/>
      <c r="C13" s="840"/>
      <c r="D13" s="840"/>
      <c r="E13" s="840"/>
      <c r="F13" s="840"/>
      <c r="G13" s="840"/>
      <c r="H13" s="840"/>
      <c r="I13" s="840"/>
      <c r="J13" s="840"/>
      <c r="K13" s="840"/>
      <c r="L13" s="840"/>
      <c r="M13" s="840"/>
      <c r="N13" s="840"/>
      <c r="O13" s="840"/>
      <c r="P13" s="840"/>
      <c r="Q13" s="840"/>
      <c r="R13" s="840"/>
      <c r="S13" s="840"/>
      <c r="T13" s="840"/>
      <c r="U13" s="840"/>
      <c r="V13" s="840"/>
      <c r="W13" s="840"/>
      <c r="X13" s="840"/>
      <c r="Y13" s="840"/>
      <c r="Z13" s="840"/>
      <c r="AA13" s="840"/>
      <c r="AB13" s="840"/>
      <c r="AC13" s="840"/>
      <c r="AD13" s="840"/>
      <c r="AE13" s="840"/>
      <c r="AF13" s="840"/>
      <c r="AG13" s="840"/>
      <c r="AH13" s="840"/>
      <c r="AI13" s="840"/>
      <c r="AJ13" s="840"/>
      <c r="AK13" s="840"/>
      <c r="AL13" s="840"/>
      <c r="AM13" s="840"/>
    </row>
    <row r="14" spans="1:39" s="80" customFormat="1" ht="15" customHeight="1">
      <c r="A14" s="774"/>
      <c r="B14" s="774"/>
      <c r="C14" s="774"/>
      <c r="D14" s="774"/>
      <c r="E14" s="774"/>
      <c r="F14" s="774"/>
      <c r="G14" s="774"/>
      <c r="H14" s="774"/>
      <c r="I14" s="774"/>
      <c r="J14" s="774"/>
      <c r="K14" s="774"/>
      <c r="L14" s="1122" t="s">
        <v>16</v>
      </c>
      <c r="M14" s="1122" t="s">
        <v>121</v>
      </c>
      <c r="N14" s="1122" t="s">
        <v>267</v>
      </c>
      <c r="O14" s="782" t="s">
        <v>3010</v>
      </c>
      <c r="P14" s="782" t="s">
        <v>3010</v>
      </c>
      <c r="Q14" s="782" t="s">
        <v>3010</v>
      </c>
      <c r="R14" s="783" t="s">
        <v>3011</v>
      </c>
      <c r="S14" s="747" t="s">
        <v>3012</v>
      </c>
      <c r="T14" s="747" t="s">
        <v>3046</v>
      </c>
      <c r="U14" s="747" t="s">
        <v>3047</v>
      </c>
      <c r="V14" s="747" t="s">
        <v>3048</v>
      </c>
      <c r="W14" s="747" t="s">
        <v>3049</v>
      </c>
      <c r="X14" s="747" t="s">
        <v>3050</v>
      </c>
      <c r="Y14" s="747" t="s">
        <v>3051</v>
      </c>
      <c r="Z14" s="747" t="s">
        <v>3052</v>
      </c>
      <c r="AA14" s="747" t="s">
        <v>3053</v>
      </c>
      <c r="AB14" s="747" t="s">
        <v>3054</v>
      </c>
      <c r="AC14" s="747" t="s">
        <v>3012</v>
      </c>
      <c r="AD14" s="747" t="s">
        <v>3046</v>
      </c>
      <c r="AE14" s="747" t="s">
        <v>3047</v>
      </c>
      <c r="AF14" s="747" t="s">
        <v>3048</v>
      </c>
      <c r="AG14" s="747" t="s">
        <v>3049</v>
      </c>
      <c r="AH14" s="747" t="s">
        <v>3050</v>
      </c>
      <c r="AI14" s="747" t="s">
        <v>3051</v>
      </c>
      <c r="AJ14" s="747" t="s">
        <v>3052</v>
      </c>
      <c r="AK14" s="747" t="s">
        <v>3053</v>
      </c>
      <c r="AL14" s="747" t="s">
        <v>3054</v>
      </c>
      <c r="AM14" s="1112" t="s">
        <v>305</v>
      </c>
    </row>
    <row r="15" spans="1:39" s="80" customFormat="1" ht="50.1" customHeight="1">
      <c r="A15" s="774"/>
      <c r="B15" s="774"/>
      <c r="C15" s="774"/>
      <c r="D15" s="774"/>
      <c r="E15" s="774"/>
      <c r="F15" s="774"/>
      <c r="G15" s="774"/>
      <c r="H15" s="774"/>
      <c r="I15" s="774"/>
      <c r="J15" s="774"/>
      <c r="K15" s="774"/>
      <c r="L15" s="1122"/>
      <c r="M15" s="1122"/>
      <c r="N15" s="1122"/>
      <c r="O15" s="747" t="s">
        <v>268</v>
      </c>
      <c r="P15" s="747" t="s">
        <v>306</v>
      </c>
      <c r="Q15" s="747" t="s">
        <v>286</v>
      </c>
      <c r="R15" s="747" t="s">
        <v>268</v>
      </c>
      <c r="S15" s="784" t="s">
        <v>269</v>
      </c>
      <c r="T15" s="784" t="s">
        <v>269</v>
      </c>
      <c r="U15" s="784" t="s">
        <v>269</v>
      </c>
      <c r="V15" s="784" t="s">
        <v>269</v>
      </c>
      <c r="W15" s="784" t="s">
        <v>269</v>
      </c>
      <c r="X15" s="784" t="s">
        <v>269</v>
      </c>
      <c r="Y15" s="784" t="s">
        <v>269</v>
      </c>
      <c r="Z15" s="784" t="s">
        <v>269</v>
      </c>
      <c r="AA15" s="784" t="s">
        <v>269</v>
      </c>
      <c r="AB15" s="784" t="s">
        <v>269</v>
      </c>
      <c r="AC15" s="784" t="s">
        <v>268</v>
      </c>
      <c r="AD15" s="784" t="s">
        <v>268</v>
      </c>
      <c r="AE15" s="784" t="s">
        <v>268</v>
      </c>
      <c r="AF15" s="784" t="s">
        <v>268</v>
      </c>
      <c r="AG15" s="784" t="s">
        <v>268</v>
      </c>
      <c r="AH15" s="784" t="s">
        <v>268</v>
      </c>
      <c r="AI15" s="784" t="s">
        <v>268</v>
      </c>
      <c r="AJ15" s="784" t="s">
        <v>268</v>
      </c>
      <c r="AK15" s="784" t="s">
        <v>268</v>
      </c>
      <c r="AL15" s="784" t="s">
        <v>268</v>
      </c>
      <c r="AM15" s="1112"/>
    </row>
    <row r="16" spans="1:39" s="80" customFormat="1">
      <c r="A16" s="788" t="s">
        <v>18</v>
      </c>
      <c r="B16" s="774"/>
      <c r="C16" s="774"/>
      <c r="D16" s="774"/>
      <c r="E16" s="774"/>
      <c r="F16" s="774"/>
      <c r="G16" s="774"/>
      <c r="H16" s="774"/>
      <c r="I16" s="774"/>
      <c r="J16" s="774"/>
      <c r="K16" s="774"/>
      <c r="L16" s="828" t="s">
        <v>3005</v>
      </c>
      <c r="M16" s="708"/>
      <c r="N16" s="708"/>
      <c r="O16" s="708"/>
      <c r="P16" s="708"/>
      <c r="Q16" s="708"/>
      <c r="R16" s="708"/>
      <c r="S16" s="708"/>
      <c r="T16" s="708"/>
      <c r="U16" s="708"/>
      <c r="V16" s="708"/>
      <c r="W16" s="708"/>
      <c r="X16" s="708"/>
      <c r="Y16" s="708"/>
      <c r="Z16" s="708"/>
      <c r="AA16" s="708"/>
      <c r="AB16" s="708"/>
      <c r="AC16" s="708"/>
      <c r="AD16" s="708"/>
      <c r="AE16" s="708"/>
      <c r="AF16" s="708"/>
      <c r="AG16" s="708"/>
      <c r="AH16" s="708"/>
      <c r="AI16" s="708"/>
      <c r="AJ16" s="708"/>
      <c r="AK16" s="708"/>
      <c r="AL16" s="708"/>
      <c r="AM16" s="708"/>
    </row>
    <row r="17" spans="1:39" s="80" customFormat="1" ht="22.8">
      <c r="A17" s="809">
        <v>1</v>
      </c>
      <c r="B17" s="774" t="s">
        <v>1708</v>
      </c>
      <c r="C17" s="774"/>
      <c r="D17" s="774"/>
      <c r="E17" s="774"/>
      <c r="F17" s="774"/>
      <c r="G17" s="774"/>
      <c r="H17" s="774"/>
      <c r="I17" s="774"/>
      <c r="J17" s="774"/>
      <c r="K17" s="774"/>
      <c r="L17" s="865">
        <v>0</v>
      </c>
      <c r="M17" s="866" t="s">
        <v>411</v>
      </c>
      <c r="N17" s="214" t="s">
        <v>352</v>
      </c>
      <c r="O17" s="867">
        <v>36.340000000000003</v>
      </c>
      <c r="P17" s="867">
        <v>19.52</v>
      </c>
      <c r="Q17" s="867">
        <v>0</v>
      </c>
      <c r="R17" s="867">
        <v>34.9</v>
      </c>
      <c r="S17" s="867">
        <v>19.52</v>
      </c>
      <c r="T17" s="867">
        <v>0</v>
      </c>
      <c r="U17" s="867">
        <v>0</v>
      </c>
      <c r="V17" s="867">
        <v>0</v>
      </c>
      <c r="W17" s="867">
        <v>0</v>
      </c>
      <c r="X17" s="867">
        <v>0</v>
      </c>
      <c r="Y17" s="867">
        <v>0</v>
      </c>
      <c r="Z17" s="867">
        <v>0</v>
      </c>
      <c r="AA17" s="867">
        <v>0</v>
      </c>
      <c r="AB17" s="867">
        <v>0</v>
      </c>
      <c r="AC17" s="867">
        <v>0</v>
      </c>
      <c r="AD17" s="867">
        <v>0</v>
      </c>
      <c r="AE17" s="867">
        <v>0</v>
      </c>
      <c r="AF17" s="867">
        <v>0</v>
      </c>
      <c r="AG17" s="867">
        <v>0</v>
      </c>
      <c r="AH17" s="867">
        <v>0</v>
      </c>
      <c r="AI17" s="867">
        <v>0</v>
      </c>
      <c r="AJ17" s="867">
        <v>0</v>
      </c>
      <c r="AK17" s="867">
        <v>0</v>
      </c>
      <c r="AL17" s="867">
        <v>0</v>
      </c>
      <c r="AM17" s="796"/>
    </row>
    <row r="18" spans="1:39" s="80" customFormat="1">
      <c r="A18" s="809">
        <v>1</v>
      </c>
      <c r="B18" s="774" t="s">
        <v>1406</v>
      </c>
      <c r="C18" s="774"/>
      <c r="D18" s="774"/>
      <c r="E18" s="774"/>
      <c r="F18" s="774"/>
      <c r="G18" s="774"/>
      <c r="H18" s="774"/>
      <c r="I18" s="774"/>
      <c r="J18" s="774"/>
      <c r="K18" s="774"/>
      <c r="L18" s="849" t="s">
        <v>18</v>
      </c>
      <c r="M18" s="868" t="s">
        <v>412</v>
      </c>
      <c r="N18" s="217" t="s">
        <v>352</v>
      </c>
      <c r="O18" s="869"/>
      <c r="P18" s="870"/>
      <c r="Q18" s="870"/>
      <c r="R18" s="870"/>
      <c r="S18" s="870"/>
      <c r="T18" s="870"/>
      <c r="U18" s="870"/>
      <c r="V18" s="870"/>
      <c r="W18" s="870"/>
      <c r="X18" s="870"/>
      <c r="Y18" s="870"/>
      <c r="Z18" s="870"/>
      <c r="AA18" s="870"/>
      <c r="AB18" s="870"/>
      <c r="AC18" s="870"/>
      <c r="AD18" s="870"/>
      <c r="AE18" s="870"/>
      <c r="AF18" s="870"/>
      <c r="AG18" s="870"/>
      <c r="AH18" s="870"/>
      <c r="AI18" s="870"/>
      <c r="AJ18" s="870"/>
      <c r="AK18" s="870"/>
      <c r="AL18" s="870"/>
      <c r="AM18" s="796"/>
    </row>
    <row r="19" spans="1:39" s="80" customFormat="1">
      <c r="A19" s="809">
        <v>1</v>
      </c>
      <c r="B19" s="774" t="s">
        <v>1438</v>
      </c>
      <c r="C19" s="774"/>
      <c r="D19" s="774"/>
      <c r="E19" s="774"/>
      <c r="F19" s="774"/>
      <c r="G19" s="774"/>
      <c r="H19" s="774"/>
      <c r="I19" s="774"/>
      <c r="J19" s="774"/>
      <c r="K19" s="774"/>
      <c r="L19" s="849" t="s">
        <v>102</v>
      </c>
      <c r="M19" s="868" t="s">
        <v>413</v>
      </c>
      <c r="N19" s="217" t="s">
        <v>352</v>
      </c>
      <c r="O19" s="869"/>
      <c r="P19" s="870"/>
      <c r="Q19" s="870"/>
      <c r="R19" s="870"/>
      <c r="S19" s="870"/>
      <c r="T19" s="870"/>
      <c r="U19" s="870"/>
      <c r="V19" s="870"/>
      <c r="W19" s="870"/>
      <c r="X19" s="870"/>
      <c r="Y19" s="870"/>
      <c r="Z19" s="870"/>
      <c r="AA19" s="870"/>
      <c r="AB19" s="870"/>
      <c r="AC19" s="870"/>
      <c r="AD19" s="870"/>
      <c r="AE19" s="870"/>
      <c r="AF19" s="870"/>
      <c r="AG19" s="870"/>
      <c r="AH19" s="870"/>
      <c r="AI19" s="870"/>
      <c r="AJ19" s="870"/>
      <c r="AK19" s="870"/>
      <c r="AL19" s="870"/>
      <c r="AM19" s="796"/>
    </row>
    <row r="20" spans="1:39" s="80" customFormat="1" ht="22.8">
      <c r="A20" s="809">
        <v>1</v>
      </c>
      <c r="B20" s="774" t="s">
        <v>1442</v>
      </c>
      <c r="C20" s="774"/>
      <c r="D20" s="774"/>
      <c r="E20" s="774"/>
      <c r="F20" s="774"/>
      <c r="G20" s="774"/>
      <c r="H20" s="774"/>
      <c r="I20" s="774"/>
      <c r="J20" s="774"/>
      <c r="K20" s="774"/>
      <c r="L20" s="849" t="s">
        <v>103</v>
      </c>
      <c r="M20" s="868" t="s">
        <v>1337</v>
      </c>
      <c r="N20" s="217" t="s">
        <v>352</v>
      </c>
      <c r="O20" s="869"/>
      <c r="P20" s="870"/>
      <c r="Q20" s="870"/>
      <c r="R20" s="870"/>
      <c r="S20" s="870"/>
      <c r="T20" s="870"/>
      <c r="U20" s="870"/>
      <c r="V20" s="870"/>
      <c r="W20" s="870"/>
      <c r="X20" s="870"/>
      <c r="Y20" s="870"/>
      <c r="Z20" s="870"/>
      <c r="AA20" s="870"/>
      <c r="AB20" s="870"/>
      <c r="AC20" s="870"/>
      <c r="AD20" s="870"/>
      <c r="AE20" s="870"/>
      <c r="AF20" s="870"/>
      <c r="AG20" s="870"/>
      <c r="AH20" s="870"/>
      <c r="AI20" s="870"/>
      <c r="AJ20" s="870"/>
      <c r="AK20" s="870"/>
      <c r="AL20" s="870"/>
      <c r="AM20" s="796"/>
    </row>
    <row r="21" spans="1:39">
      <c r="A21" s="809">
        <v>1</v>
      </c>
      <c r="B21" s="840" t="s">
        <v>1444</v>
      </c>
      <c r="C21" s="840"/>
      <c r="D21" s="840"/>
      <c r="E21" s="840"/>
      <c r="F21" s="840"/>
      <c r="G21" s="840"/>
      <c r="H21" s="840"/>
      <c r="I21" s="840"/>
      <c r="J21" s="840"/>
      <c r="K21" s="840"/>
      <c r="L21" s="871">
        <v>4</v>
      </c>
      <c r="M21" s="868" t="s">
        <v>414</v>
      </c>
      <c r="N21" s="217" t="s">
        <v>352</v>
      </c>
      <c r="O21" s="872"/>
      <c r="P21" s="872"/>
      <c r="Q21" s="872"/>
      <c r="R21" s="872"/>
      <c r="S21" s="872"/>
      <c r="T21" s="872"/>
      <c r="U21" s="872"/>
      <c r="V21" s="872"/>
      <c r="W21" s="872"/>
      <c r="X21" s="872"/>
      <c r="Y21" s="872"/>
      <c r="Z21" s="872"/>
      <c r="AA21" s="872"/>
      <c r="AB21" s="872"/>
      <c r="AC21" s="872"/>
      <c r="AD21" s="872"/>
      <c r="AE21" s="872"/>
      <c r="AF21" s="872"/>
      <c r="AG21" s="872"/>
      <c r="AH21" s="872"/>
      <c r="AI21" s="872"/>
      <c r="AJ21" s="872"/>
      <c r="AK21" s="872"/>
      <c r="AL21" s="872"/>
      <c r="AM21" s="796"/>
    </row>
    <row r="22" spans="1:39" s="80" customFormat="1" ht="22.8">
      <c r="A22" s="809">
        <v>1</v>
      </c>
      <c r="B22" s="774" t="s">
        <v>1446</v>
      </c>
      <c r="C22" s="774"/>
      <c r="D22" s="774"/>
      <c r="E22" s="774"/>
      <c r="F22" s="774"/>
      <c r="G22" s="774"/>
      <c r="H22" s="774"/>
      <c r="I22" s="774"/>
      <c r="J22" s="774"/>
      <c r="K22" s="774"/>
      <c r="L22" s="849" t="s">
        <v>120</v>
      </c>
      <c r="M22" s="868" t="s">
        <v>415</v>
      </c>
      <c r="N22" s="217" t="s">
        <v>352</v>
      </c>
      <c r="O22" s="869"/>
      <c r="P22" s="869"/>
      <c r="Q22" s="869"/>
      <c r="R22" s="869"/>
      <c r="S22" s="869"/>
      <c r="T22" s="869"/>
      <c r="U22" s="869"/>
      <c r="V22" s="869"/>
      <c r="W22" s="869"/>
      <c r="X22" s="869"/>
      <c r="Y22" s="869"/>
      <c r="Z22" s="869"/>
      <c r="AA22" s="869"/>
      <c r="AB22" s="869"/>
      <c r="AC22" s="869"/>
      <c r="AD22" s="869"/>
      <c r="AE22" s="869"/>
      <c r="AF22" s="869"/>
      <c r="AG22" s="869"/>
      <c r="AH22" s="869"/>
      <c r="AI22" s="869"/>
      <c r="AJ22" s="869"/>
      <c r="AK22" s="869"/>
      <c r="AL22" s="869"/>
      <c r="AM22" s="796"/>
    </row>
    <row r="23" spans="1:39" s="80" customFormat="1">
      <c r="A23" s="809">
        <v>1</v>
      </c>
      <c r="B23" s="774" t="s">
        <v>1448</v>
      </c>
      <c r="C23" s="774"/>
      <c r="D23" s="774"/>
      <c r="E23" s="774"/>
      <c r="F23" s="774"/>
      <c r="G23" s="774"/>
      <c r="H23" s="774"/>
      <c r="I23" s="774"/>
      <c r="J23" s="774"/>
      <c r="K23" s="774"/>
      <c r="L23" s="849" t="s">
        <v>124</v>
      </c>
      <c r="M23" s="868" t="s">
        <v>133</v>
      </c>
      <c r="N23" s="217" t="s">
        <v>352</v>
      </c>
      <c r="O23" s="869">
        <v>36.340000000000003</v>
      </c>
      <c r="P23" s="869">
        <v>19.52</v>
      </c>
      <c r="Q23" s="869">
        <v>0</v>
      </c>
      <c r="R23" s="869">
        <v>34.9</v>
      </c>
      <c r="S23" s="869">
        <v>19.52</v>
      </c>
      <c r="T23" s="869"/>
      <c r="U23" s="869"/>
      <c r="V23" s="869"/>
      <c r="W23" s="869"/>
      <c r="X23" s="869"/>
      <c r="Y23" s="869"/>
      <c r="Z23" s="869"/>
      <c r="AA23" s="869"/>
      <c r="AB23" s="869"/>
      <c r="AC23" s="869">
        <v>0</v>
      </c>
      <c r="AD23" s="869"/>
      <c r="AE23" s="869"/>
      <c r="AF23" s="869"/>
      <c r="AG23" s="869"/>
      <c r="AH23" s="869"/>
      <c r="AI23" s="869"/>
      <c r="AJ23" s="869"/>
      <c r="AK23" s="869"/>
      <c r="AL23" s="869"/>
      <c r="AM23" s="796"/>
    </row>
    <row r="24" spans="1:39" s="80" customFormat="1">
      <c r="A24" s="809">
        <v>1</v>
      </c>
      <c r="B24" s="774" t="s">
        <v>1450</v>
      </c>
      <c r="C24" s="774"/>
      <c r="D24" s="774"/>
      <c r="E24" s="774"/>
      <c r="F24" s="774"/>
      <c r="G24" s="774"/>
      <c r="H24" s="774"/>
      <c r="I24" s="774"/>
      <c r="J24" s="774"/>
      <c r="K24" s="774"/>
      <c r="L24" s="849" t="s">
        <v>125</v>
      </c>
      <c r="M24" s="868" t="s">
        <v>132</v>
      </c>
      <c r="N24" s="217" t="s">
        <v>352</v>
      </c>
      <c r="O24" s="869"/>
      <c r="P24" s="869"/>
      <c r="Q24" s="869"/>
      <c r="R24" s="869"/>
      <c r="S24" s="869"/>
      <c r="T24" s="869"/>
      <c r="U24" s="869"/>
      <c r="V24" s="869"/>
      <c r="W24" s="869"/>
      <c r="X24" s="869"/>
      <c r="Y24" s="869"/>
      <c r="Z24" s="869"/>
      <c r="AA24" s="869"/>
      <c r="AB24" s="869"/>
      <c r="AC24" s="869"/>
      <c r="AD24" s="869"/>
      <c r="AE24" s="869"/>
      <c r="AF24" s="869"/>
      <c r="AG24" s="869"/>
      <c r="AH24" s="869"/>
      <c r="AI24" s="869"/>
      <c r="AJ24" s="869"/>
      <c r="AK24" s="869"/>
      <c r="AL24" s="869"/>
      <c r="AM24" s="796"/>
    </row>
    <row r="25" spans="1:39" s="80" customFormat="1" ht="22.8">
      <c r="A25" s="809">
        <v>1</v>
      </c>
      <c r="B25" s="774" t="s">
        <v>1452</v>
      </c>
      <c r="C25" s="774"/>
      <c r="D25" s="774"/>
      <c r="E25" s="774"/>
      <c r="F25" s="774"/>
      <c r="G25" s="774"/>
      <c r="H25" s="774"/>
      <c r="I25" s="774"/>
      <c r="J25" s="774"/>
      <c r="K25" s="774"/>
      <c r="L25" s="849" t="s">
        <v>126</v>
      </c>
      <c r="M25" s="868" t="s">
        <v>1338</v>
      </c>
      <c r="N25" s="217" t="s">
        <v>352</v>
      </c>
      <c r="O25" s="869"/>
      <c r="P25" s="869"/>
      <c r="Q25" s="869"/>
      <c r="R25" s="869"/>
      <c r="S25" s="869"/>
      <c r="T25" s="869"/>
      <c r="U25" s="869"/>
      <c r="V25" s="869"/>
      <c r="W25" s="869"/>
      <c r="X25" s="869"/>
      <c r="Y25" s="869"/>
      <c r="Z25" s="869"/>
      <c r="AA25" s="869"/>
      <c r="AB25" s="869"/>
      <c r="AC25" s="869"/>
      <c r="AD25" s="869"/>
      <c r="AE25" s="869"/>
      <c r="AF25" s="869"/>
      <c r="AG25" s="869"/>
      <c r="AH25" s="869"/>
      <c r="AI25" s="869"/>
      <c r="AJ25" s="869"/>
      <c r="AK25" s="869"/>
      <c r="AL25" s="869"/>
      <c r="AM25" s="796"/>
    </row>
    <row r="26" spans="1:39">
      <c r="A26" s="809">
        <v>1</v>
      </c>
      <c r="B26" s="840" t="s">
        <v>1456</v>
      </c>
      <c r="C26" s="840"/>
      <c r="D26" s="840"/>
      <c r="E26" s="840"/>
      <c r="F26" s="840"/>
      <c r="G26" s="840"/>
      <c r="H26" s="840"/>
      <c r="I26" s="840"/>
      <c r="J26" s="840"/>
      <c r="K26" s="840"/>
      <c r="L26" s="871">
        <v>9</v>
      </c>
      <c r="M26" s="868" t="s">
        <v>416</v>
      </c>
      <c r="N26" s="217" t="s">
        <v>352</v>
      </c>
      <c r="O26" s="873">
        <v>0</v>
      </c>
      <c r="P26" s="873">
        <v>0</v>
      </c>
      <c r="Q26" s="873">
        <v>0</v>
      </c>
      <c r="R26" s="873">
        <v>0</v>
      </c>
      <c r="S26" s="873">
        <v>0</v>
      </c>
      <c r="T26" s="873">
        <v>0</v>
      </c>
      <c r="U26" s="873">
        <v>0</v>
      </c>
      <c r="V26" s="873">
        <v>0</v>
      </c>
      <c r="W26" s="873">
        <v>0</v>
      </c>
      <c r="X26" s="873">
        <v>0</v>
      </c>
      <c r="Y26" s="873">
        <v>0</v>
      </c>
      <c r="Z26" s="873">
        <v>0</v>
      </c>
      <c r="AA26" s="873">
        <v>0</v>
      </c>
      <c r="AB26" s="873">
        <v>0</v>
      </c>
      <c r="AC26" s="873">
        <v>0</v>
      </c>
      <c r="AD26" s="873">
        <v>0</v>
      </c>
      <c r="AE26" s="873">
        <v>0</v>
      </c>
      <c r="AF26" s="873">
        <v>0</v>
      </c>
      <c r="AG26" s="873">
        <v>0</v>
      </c>
      <c r="AH26" s="873">
        <v>0</v>
      </c>
      <c r="AI26" s="873">
        <v>0</v>
      </c>
      <c r="AJ26" s="873">
        <v>0</v>
      </c>
      <c r="AK26" s="873">
        <v>0</v>
      </c>
      <c r="AL26" s="873">
        <v>0</v>
      </c>
      <c r="AM26" s="796"/>
    </row>
    <row r="27" spans="1:39" ht="0.15" customHeight="1">
      <c r="A27" s="809">
        <v>1</v>
      </c>
      <c r="B27" s="840"/>
      <c r="C27" s="840"/>
      <c r="D27" s="840"/>
      <c r="E27" s="840"/>
      <c r="F27" s="840"/>
      <c r="G27" s="840"/>
      <c r="H27" s="840"/>
      <c r="I27" s="840"/>
      <c r="J27" s="840"/>
      <c r="K27" s="840"/>
      <c r="L27" s="871">
        <v>9</v>
      </c>
      <c r="M27" s="216"/>
      <c r="N27" s="217"/>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7"/>
    </row>
    <row r="28" spans="1:39" s="80" customFormat="1">
      <c r="A28" s="788" t="s">
        <v>102</v>
      </c>
      <c r="B28" s="774"/>
      <c r="C28" s="774"/>
      <c r="D28" s="774"/>
      <c r="E28" s="774"/>
      <c r="F28" s="774"/>
      <c r="G28" s="774"/>
      <c r="H28" s="774"/>
      <c r="I28" s="774"/>
      <c r="J28" s="774"/>
      <c r="K28" s="774"/>
      <c r="L28" s="828" t="s">
        <v>3009</v>
      </c>
      <c r="M28" s="708"/>
      <c r="N28" s="708"/>
      <c r="O28" s="708"/>
      <c r="P28" s="708"/>
      <c r="Q28" s="708"/>
      <c r="R28" s="708"/>
      <c r="S28" s="708"/>
      <c r="T28" s="708"/>
      <c r="U28" s="708"/>
      <c r="V28" s="708"/>
      <c r="W28" s="708"/>
      <c r="X28" s="708"/>
      <c r="Y28" s="708"/>
      <c r="Z28" s="708"/>
      <c r="AA28" s="708"/>
      <c r="AB28" s="708"/>
      <c r="AC28" s="708"/>
      <c r="AD28" s="708"/>
      <c r="AE28" s="708"/>
      <c r="AF28" s="708"/>
      <c r="AG28" s="708"/>
      <c r="AH28" s="708"/>
      <c r="AI28" s="708"/>
      <c r="AJ28" s="708"/>
      <c r="AK28" s="708"/>
      <c r="AL28" s="708"/>
      <c r="AM28" s="708"/>
    </row>
    <row r="29" spans="1:39" s="80" customFormat="1" ht="22.8">
      <c r="A29" s="809">
        <v>2</v>
      </c>
      <c r="B29" s="774" t="s">
        <v>1708</v>
      </c>
      <c r="C29" s="774"/>
      <c r="D29" s="774"/>
      <c r="E29" s="774"/>
      <c r="F29" s="774"/>
      <c r="G29" s="774"/>
      <c r="H29" s="774"/>
      <c r="I29" s="774"/>
      <c r="J29" s="774"/>
      <c r="K29" s="774"/>
      <c r="L29" s="865">
        <v>0</v>
      </c>
      <c r="M29" s="866" t="s">
        <v>411</v>
      </c>
      <c r="N29" s="214" t="s">
        <v>352</v>
      </c>
      <c r="O29" s="867">
        <v>0</v>
      </c>
      <c r="P29" s="867">
        <v>0</v>
      </c>
      <c r="Q29" s="867">
        <v>0</v>
      </c>
      <c r="R29" s="867">
        <v>0</v>
      </c>
      <c r="S29" s="867">
        <v>0</v>
      </c>
      <c r="T29" s="867">
        <v>0</v>
      </c>
      <c r="U29" s="867">
        <v>0</v>
      </c>
      <c r="V29" s="867">
        <v>0</v>
      </c>
      <c r="W29" s="867">
        <v>0</v>
      </c>
      <c r="X29" s="867">
        <v>0</v>
      </c>
      <c r="Y29" s="867">
        <v>0</v>
      </c>
      <c r="Z29" s="867">
        <v>0</v>
      </c>
      <c r="AA29" s="867">
        <v>0</v>
      </c>
      <c r="AB29" s="867">
        <v>0</v>
      </c>
      <c r="AC29" s="867">
        <v>0</v>
      </c>
      <c r="AD29" s="867">
        <v>0</v>
      </c>
      <c r="AE29" s="867">
        <v>0</v>
      </c>
      <c r="AF29" s="867">
        <v>0</v>
      </c>
      <c r="AG29" s="867">
        <v>0</v>
      </c>
      <c r="AH29" s="867">
        <v>0</v>
      </c>
      <c r="AI29" s="867">
        <v>0</v>
      </c>
      <c r="AJ29" s="867">
        <v>0</v>
      </c>
      <c r="AK29" s="867">
        <v>0</v>
      </c>
      <c r="AL29" s="867">
        <v>0</v>
      </c>
      <c r="AM29" s="796"/>
    </row>
    <row r="30" spans="1:39" s="80" customFormat="1">
      <c r="A30" s="809">
        <v>2</v>
      </c>
      <c r="B30" s="774" t="s">
        <v>1406</v>
      </c>
      <c r="C30" s="774"/>
      <c r="D30" s="774"/>
      <c r="E30" s="774"/>
      <c r="F30" s="774"/>
      <c r="G30" s="774"/>
      <c r="H30" s="774"/>
      <c r="I30" s="774"/>
      <c r="J30" s="774"/>
      <c r="K30" s="774"/>
      <c r="L30" s="849" t="s">
        <v>18</v>
      </c>
      <c r="M30" s="868" t="s">
        <v>412</v>
      </c>
      <c r="N30" s="217" t="s">
        <v>352</v>
      </c>
      <c r="O30" s="869"/>
      <c r="P30" s="870"/>
      <c r="Q30" s="870"/>
      <c r="R30" s="870"/>
      <c r="S30" s="870"/>
      <c r="T30" s="870"/>
      <c r="U30" s="870"/>
      <c r="V30" s="870"/>
      <c r="W30" s="870"/>
      <c r="X30" s="870"/>
      <c r="Y30" s="870"/>
      <c r="Z30" s="870"/>
      <c r="AA30" s="870"/>
      <c r="AB30" s="870"/>
      <c r="AC30" s="870"/>
      <c r="AD30" s="870"/>
      <c r="AE30" s="870"/>
      <c r="AF30" s="870"/>
      <c r="AG30" s="870"/>
      <c r="AH30" s="870"/>
      <c r="AI30" s="870"/>
      <c r="AJ30" s="870"/>
      <c r="AK30" s="870"/>
      <c r="AL30" s="870"/>
      <c r="AM30" s="796"/>
    </row>
    <row r="31" spans="1:39" s="80" customFormat="1">
      <c r="A31" s="809">
        <v>2</v>
      </c>
      <c r="B31" s="774" t="s">
        <v>1438</v>
      </c>
      <c r="C31" s="774"/>
      <c r="D31" s="774"/>
      <c r="E31" s="774"/>
      <c r="F31" s="774"/>
      <c r="G31" s="774"/>
      <c r="H31" s="774"/>
      <c r="I31" s="774"/>
      <c r="J31" s="774"/>
      <c r="K31" s="774"/>
      <c r="L31" s="849" t="s">
        <v>102</v>
      </c>
      <c r="M31" s="868" t="s">
        <v>413</v>
      </c>
      <c r="N31" s="217" t="s">
        <v>352</v>
      </c>
      <c r="O31" s="869"/>
      <c r="P31" s="870"/>
      <c r="Q31" s="870"/>
      <c r="R31" s="870"/>
      <c r="S31" s="870"/>
      <c r="T31" s="870"/>
      <c r="U31" s="870"/>
      <c r="V31" s="870"/>
      <c r="W31" s="870"/>
      <c r="X31" s="870"/>
      <c r="Y31" s="870"/>
      <c r="Z31" s="870"/>
      <c r="AA31" s="870"/>
      <c r="AB31" s="870"/>
      <c r="AC31" s="870"/>
      <c r="AD31" s="870"/>
      <c r="AE31" s="870"/>
      <c r="AF31" s="870"/>
      <c r="AG31" s="870"/>
      <c r="AH31" s="870"/>
      <c r="AI31" s="870"/>
      <c r="AJ31" s="870"/>
      <c r="AK31" s="870"/>
      <c r="AL31" s="870"/>
      <c r="AM31" s="796"/>
    </row>
    <row r="32" spans="1:39" s="80" customFormat="1" ht="22.8">
      <c r="A32" s="809">
        <v>2</v>
      </c>
      <c r="B32" s="774" t="s">
        <v>1442</v>
      </c>
      <c r="C32" s="774"/>
      <c r="D32" s="774"/>
      <c r="E32" s="774"/>
      <c r="F32" s="774"/>
      <c r="G32" s="774"/>
      <c r="H32" s="774"/>
      <c r="I32" s="774"/>
      <c r="J32" s="774"/>
      <c r="K32" s="774"/>
      <c r="L32" s="849" t="s">
        <v>103</v>
      </c>
      <c r="M32" s="868" t="s">
        <v>1337</v>
      </c>
      <c r="N32" s="217" t="s">
        <v>352</v>
      </c>
      <c r="O32" s="869"/>
      <c r="P32" s="870"/>
      <c r="Q32" s="870"/>
      <c r="R32" s="870"/>
      <c r="S32" s="870"/>
      <c r="T32" s="870"/>
      <c r="U32" s="870"/>
      <c r="V32" s="870"/>
      <c r="W32" s="870"/>
      <c r="X32" s="870"/>
      <c r="Y32" s="870"/>
      <c r="Z32" s="870"/>
      <c r="AA32" s="870"/>
      <c r="AB32" s="870"/>
      <c r="AC32" s="870"/>
      <c r="AD32" s="870"/>
      <c r="AE32" s="870"/>
      <c r="AF32" s="870"/>
      <c r="AG32" s="870"/>
      <c r="AH32" s="870"/>
      <c r="AI32" s="870"/>
      <c r="AJ32" s="870"/>
      <c r="AK32" s="870"/>
      <c r="AL32" s="870"/>
      <c r="AM32" s="796"/>
    </row>
    <row r="33" spans="1:39">
      <c r="A33" s="809">
        <v>2</v>
      </c>
      <c r="B33" s="840" t="s">
        <v>1444</v>
      </c>
      <c r="C33" s="840"/>
      <c r="D33" s="840"/>
      <c r="E33" s="840"/>
      <c r="F33" s="840"/>
      <c r="G33" s="840"/>
      <c r="H33" s="840"/>
      <c r="I33" s="840"/>
      <c r="J33" s="840"/>
      <c r="K33" s="840"/>
      <c r="L33" s="871">
        <v>4</v>
      </c>
      <c r="M33" s="868" t="s">
        <v>414</v>
      </c>
      <c r="N33" s="217" t="s">
        <v>352</v>
      </c>
      <c r="O33" s="872"/>
      <c r="P33" s="872"/>
      <c r="Q33" s="872"/>
      <c r="R33" s="872"/>
      <c r="S33" s="872"/>
      <c r="T33" s="872"/>
      <c r="U33" s="872"/>
      <c r="V33" s="872"/>
      <c r="W33" s="872"/>
      <c r="X33" s="872"/>
      <c r="Y33" s="872"/>
      <c r="Z33" s="872"/>
      <c r="AA33" s="872"/>
      <c r="AB33" s="872"/>
      <c r="AC33" s="872"/>
      <c r="AD33" s="872"/>
      <c r="AE33" s="872"/>
      <c r="AF33" s="872"/>
      <c r="AG33" s="872"/>
      <c r="AH33" s="872"/>
      <c r="AI33" s="872"/>
      <c r="AJ33" s="872"/>
      <c r="AK33" s="872"/>
      <c r="AL33" s="872"/>
      <c r="AM33" s="796"/>
    </row>
    <row r="34" spans="1:39" s="80" customFormat="1" ht="22.8">
      <c r="A34" s="809">
        <v>2</v>
      </c>
      <c r="B34" s="774" t="s">
        <v>1446</v>
      </c>
      <c r="C34" s="774"/>
      <c r="D34" s="774"/>
      <c r="E34" s="774"/>
      <c r="F34" s="774"/>
      <c r="G34" s="774"/>
      <c r="H34" s="774"/>
      <c r="I34" s="774"/>
      <c r="J34" s="774"/>
      <c r="K34" s="774"/>
      <c r="L34" s="849" t="s">
        <v>120</v>
      </c>
      <c r="M34" s="868" t="s">
        <v>415</v>
      </c>
      <c r="N34" s="217" t="s">
        <v>352</v>
      </c>
      <c r="O34" s="869"/>
      <c r="P34" s="869"/>
      <c r="Q34" s="869"/>
      <c r="R34" s="869"/>
      <c r="S34" s="869"/>
      <c r="T34" s="869"/>
      <c r="U34" s="869"/>
      <c r="V34" s="869"/>
      <c r="W34" s="869"/>
      <c r="X34" s="869"/>
      <c r="Y34" s="869"/>
      <c r="Z34" s="869"/>
      <c r="AA34" s="869"/>
      <c r="AB34" s="869"/>
      <c r="AC34" s="869"/>
      <c r="AD34" s="869"/>
      <c r="AE34" s="869"/>
      <c r="AF34" s="869"/>
      <c r="AG34" s="869"/>
      <c r="AH34" s="869"/>
      <c r="AI34" s="869"/>
      <c r="AJ34" s="869"/>
      <c r="AK34" s="869"/>
      <c r="AL34" s="869"/>
      <c r="AM34" s="796"/>
    </row>
    <row r="35" spans="1:39" s="80" customFormat="1">
      <c r="A35" s="809">
        <v>2</v>
      </c>
      <c r="B35" s="774" t="s">
        <v>1448</v>
      </c>
      <c r="C35" s="774"/>
      <c r="D35" s="774"/>
      <c r="E35" s="774"/>
      <c r="F35" s="774"/>
      <c r="G35" s="774"/>
      <c r="H35" s="774"/>
      <c r="I35" s="774"/>
      <c r="J35" s="774"/>
      <c r="K35" s="774"/>
      <c r="L35" s="849" t="s">
        <v>124</v>
      </c>
      <c r="M35" s="868" t="s">
        <v>133</v>
      </c>
      <c r="N35" s="217" t="s">
        <v>352</v>
      </c>
      <c r="O35" s="869"/>
      <c r="P35" s="869"/>
      <c r="Q35" s="869"/>
      <c r="R35" s="869"/>
      <c r="S35" s="869"/>
      <c r="T35" s="869"/>
      <c r="U35" s="869"/>
      <c r="V35" s="869"/>
      <c r="W35" s="869"/>
      <c r="X35" s="869"/>
      <c r="Y35" s="869"/>
      <c r="Z35" s="869"/>
      <c r="AA35" s="869"/>
      <c r="AB35" s="869"/>
      <c r="AC35" s="869"/>
      <c r="AD35" s="869"/>
      <c r="AE35" s="869"/>
      <c r="AF35" s="869"/>
      <c r="AG35" s="869"/>
      <c r="AH35" s="869"/>
      <c r="AI35" s="869"/>
      <c r="AJ35" s="869"/>
      <c r="AK35" s="869"/>
      <c r="AL35" s="869"/>
      <c r="AM35" s="796"/>
    </row>
    <row r="36" spans="1:39" s="80" customFormat="1">
      <c r="A36" s="809">
        <v>2</v>
      </c>
      <c r="B36" s="774" t="s">
        <v>1450</v>
      </c>
      <c r="C36" s="774"/>
      <c r="D36" s="774"/>
      <c r="E36" s="774"/>
      <c r="F36" s="774"/>
      <c r="G36" s="774"/>
      <c r="H36" s="774"/>
      <c r="I36" s="774"/>
      <c r="J36" s="774"/>
      <c r="K36" s="774"/>
      <c r="L36" s="849" t="s">
        <v>125</v>
      </c>
      <c r="M36" s="868" t="s">
        <v>132</v>
      </c>
      <c r="N36" s="217" t="s">
        <v>352</v>
      </c>
      <c r="O36" s="869"/>
      <c r="P36" s="869"/>
      <c r="Q36" s="869"/>
      <c r="R36" s="869"/>
      <c r="S36" s="869"/>
      <c r="T36" s="869"/>
      <c r="U36" s="869"/>
      <c r="V36" s="869"/>
      <c r="W36" s="869"/>
      <c r="X36" s="869"/>
      <c r="Y36" s="869"/>
      <c r="Z36" s="869"/>
      <c r="AA36" s="869"/>
      <c r="AB36" s="869"/>
      <c r="AC36" s="869"/>
      <c r="AD36" s="869"/>
      <c r="AE36" s="869"/>
      <c r="AF36" s="869"/>
      <c r="AG36" s="869"/>
      <c r="AH36" s="869"/>
      <c r="AI36" s="869"/>
      <c r="AJ36" s="869"/>
      <c r="AK36" s="869"/>
      <c r="AL36" s="869"/>
      <c r="AM36" s="796"/>
    </row>
    <row r="37" spans="1:39" s="80" customFormat="1" ht="22.8">
      <c r="A37" s="809">
        <v>2</v>
      </c>
      <c r="B37" s="774" t="s">
        <v>1452</v>
      </c>
      <c r="C37" s="774"/>
      <c r="D37" s="774"/>
      <c r="E37" s="774"/>
      <c r="F37" s="774"/>
      <c r="G37" s="774"/>
      <c r="H37" s="774"/>
      <c r="I37" s="774"/>
      <c r="J37" s="774"/>
      <c r="K37" s="774"/>
      <c r="L37" s="849" t="s">
        <v>126</v>
      </c>
      <c r="M37" s="868" t="s">
        <v>1338</v>
      </c>
      <c r="N37" s="217" t="s">
        <v>352</v>
      </c>
      <c r="O37" s="869"/>
      <c r="P37" s="869"/>
      <c r="Q37" s="869"/>
      <c r="R37" s="869"/>
      <c r="S37" s="869"/>
      <c r="T37" s="869"/>
      <c r="U37" s="869"/>
      <c r="V37" s="869"/>
      <c r="W37" s="869"/>
      <c r="X37" s="869"/>
      <c r="Y37" s="869"/>
      <c r="Z37" s="869"/>
      <c r="AA37" s="869"/>
      <c r="AB37" s="869"/>
      <c r="AC37" s="869"/>
      <c r="AD37" s="869"/>
      <c r="AE37" s="869"/>
      <c r="AF37" s="869"/>
      <c r="AG37" s="869"/>
      <c r="AH37" s="869"/>
      <c r="AI37" s="869"/>
      <c r="AJ37" s="869"/>
      <c r="AK37" s="869"/>
      <c r="AL37" s="869"/>
      <c r="AM37" s="796"/>
    </row>
    <row r="38" spans="1:39">
      <c r="A38" s="809">
        <v>2</v>
      </c>
      <c r="B38" s="840" t="s">
        <v>1456</v>
      </c>
      <c r="C38" s="840"/>
      <c r="D38" s="840"/>
      <c r="E38" s="840"/>
      <c r="F38" s="840"/>
      <c r="G38" s="840"/>
      <c r="H38" s="840"/>
      <c r="I38" s="840"/>
      <c r="J38" s="840"/>
      <c r="K38" s="840"/>
      <c r="L38" s="871">
        <v>9</v>
      </c>
      <c r="M38" s="868" t="s">
        <v>416</v>
      </c>
      <c r="N38" s="217" t="s">
        <v>352</v>
      </c>
      <c r="O38" s="873">
        <v>0</v>
      </c>
      <c r="P38" s="873">
        <v>0</v>
      </c>
      <c r="Q38" s="873">
        <v>0</v>
      </c>
      <c r="R38" s="873">
        <v>0</v>
      </c>
      <c r="S38" s="873">
        <v>0</v>
      </c>
      <c r="T38" s="873">
        <v>0</v>
      </c>
      <c r="U38" s="873">
        <v>0</v>
      </c>
      <c r="V38" s="873">
        <v>0</v>
      </c>
      <c r="W38" s="873">
        <v>0</v>
      </c>
      <c r="X38" s="873">
        <v>0</v>
      </c>
      <c r="Y38" s="873">
        <v>0</v>
      </c>
      <c r="Z38" s="873">
        <v>0</v>
      </c>
      <c r="AA38" s="873">
        <v>0</v>
      </c>
      <c r="AB38" s="873">
        <v>0</v>
      </c>
      <c r="AC38" s="873">
        <v>0</v>
      </c>
      <c r="AD38" s="873">
        <v>0</v>
      </c>
      <c r="AE38" s="873">
        <v>0</v>
      </c>
      <c r="AF38" s="873">
        <v>0</v>
      </c>
      <c r="AG38" s="873">
        <v>0</v>
      </c>
      <c r="AH38" s="873">
        <v>0</v>
      </c>
      <c r="AI38" s="873">
        <v>0</v>
      </c>
      <c r="AJ38" s="873">
        <v>0</v>
      </c>
      <c r="AK38" s="873">
        <v>0</v>
      </c>
      <c r="AL38" s="873">
        <v>0</v>
      </c>
      <c r="AM38" s="796"/>
    </row>
    <row r="39" spans="1:39" ht="0.15" customHeight="1">
      <c r="A39" s="809">
        <v>2</v>
      </c>
      <c r="B39" s="840"/>
      <c r="C39" s="840"/>
      <c r="D39" s="840"/>
      <c r="E39" s="840"/>
      <c r="F39" s="840"/>
      <c r="G39" s="840"/>
      <c r="H39" s="840"/>
      <c r="I39" s="840"/>
      <c r="J39" s="840"/>
      <c r="K39" s="840"/>
      <c r="L39" s="871">
        <v>9</v>
      </c>
      <c r="M39" s="216"/>
      <c r="N39" s="217"/>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7"/>
    </row>
    <row r="40" spans="1:39">
      <c r="A40" s="840"/>
      <c r="B40" s="840"/>
      <c r="C40" s="840"/>
      <c r="D40" s="840"/>
      <c r="E40" s="840"/>
      <c r="F40" s="840"/>
      <c r="G40" s="840"/>
      <c r="H40" s="840"/>
      <c r="I40" s="840"/>
      <c r="J40" s="840"/>
      <c r="K40" s="840"/>
      <c r="L40" s="840"/>
      <c r="M40" s="840"/>
      <c r="N40" s="840"/>
      <c r="O40" s="840"/>
      <c r="P40" s="840"/>
      <c r="Q40" s="840"/>
      <c r="R40" s="840"/>
      <c r="S40" s="840"/>
      <c r="T40" s="840"/>
      <c r="U40" s="840"/>
      <c r="V40" s="840"/>
      <c r="W40" s="840"/>
      <c r="X40" s="840"/>
      <c r="Y40" s="840"/>
      <c r="Z40" s="840"/>
      <c r="AA40" s="840"/>
      <c r="AB40" s="840"/>
      <c r="AC40" s="840"/>
      <c r="AD40" s="840"/>
      <c r="AE40" s="840"/>
      <c r="AF40" s="840"/>
      <c r="AG40" s="840"/>
      <c r="AH40" s="840"/>
      <c r="AI40" s="840"/>
      <c r="AJ40" s="840"/>
      <c r="AK40" s="840"/>
      <c r="AL40" s="840"/>
      <c r="AM40" s="840"/>
    </row>
    <row r="41" spans="1:39" s="86" customFormat="1" ht="15" customHeight="1">
      <c r="A41" s="781"/>
      <c r="B41" s="781"/>
      <c r="C41" s="781"/>
      <c r="D41" s="781"/>
      <c r="E41" s="781"/>
      <c r="F41" s="781"/>
      <c r="G41" s="781"/>
      <c r="H41" s="781"/>
      <c r="I41" s="781"/>
      <c r="J41" s="781"/>
      <c r="K41" s="781"/>
      <c r="L41" s="1122" t="s">
        <v>1367</v>
      </c>
      <c r="M41" s="1122"/>
      <c r="N41" s="1122"/>
      <c r="O41" s="1122"/>
      <c r="P41" s="1122"/>
      <c r="Q41" s="1122"/>
      <c r="R41" s="1122"/>
      <c r="S41" s="1123"/>
      <c r="T41" s="1123"/>
      <c r="U41" s="1123"/>
      <c r="V41" s="1123"/>
      <c r="W41" s="1123"/>
      <c r="X41" s="1123"/>
      <c r="Y41" s="1123"/>
      <c r="Z41" s="1123"/>
      <c r="AA41" s="1123"/>
      <c r="AB41" s="1123"/>
      <c r="AC41" s="1123"/>
      <c r="AD41" s="1123"/>
      <c r="AE41" s="1123"/>
      <c r="AF41" s="1123"/>
      <c r="AG41" s="1123"/>
      <c r="AH41" s="1123"/>
      <c r="AI41" s="1123"/>
      <c r="AJ41" s="1123"/>
      <c r="AK41" s="1123"/>
      <c r="AL41" s="1123"/>
      <c r="AM41" s="1123"/>
    </row>
    <row r="42" spans="1:39" s="86" customFormat="1" ht="45" customHeight="1">
      <c r="A42" s="781"/>
      <c r="B42" s="781"/>
      <c r="C42" s="781"/>
      <c r="D42" s="781"/>
      <c r="E42" s="781"/>
      <c r="F42" s="781"/>
      <c r="G42" s="781"/>
      <c r="H42" s="781"/>
      <c r="I42" s="781"/>
      <c r="J42" s="781"/>
      <c r="K42" s="662"/>
      <c r="L42" s="1128" t="s">
        <v>2986</v>
      </c>
      <c r="M42" s="1124"/>
      <c r="N42" s="1124"/>
      <c r="O42" s="1124"/>
      <c r="P42" s="1124"/>
      <c r="Q42" s="1124"/>
      <c r="R42" s="1124"/>
      <c r="S42" s="1125"/>
      <c r="T42" s="1125"/>
      <c r="U42" s="1125"/>
      <c r="V42" s="1125"/>
      <c r="W42" s="1125"/>
      <c r="X42" s="1125"/>
      <c r="Y42" s="1125"/>
      <c r="Z42" s="1125"/>
      <c r="AA42" s="1125"/>
      <c r="AB42" s="1125"/>
      <c r="AC42" s="1125"/>
      <c r="AD42" s="1125"/>
      <c r="AE42" s="1125"/>
      <c r="AF42" s="1125"/>
      <c r="AG42" s="1125"/>
      <c r="AH42" s="1125"/>
      <c r="AI42" s="1125"/>
      <c r="AJ42" s="1125"/>
      <c r="AK42" s="1125"/>
      <c r="AL42" s="1125"/>
      <c r="AM42" s="1125"/>
    </row>
    <row r="43" spans="1:39" s="86" customFormat="1" ht="22.2" customHeight="1">
      <c r="A43" s="781"/>
      <c r="B43" s="781"/>
      <c r="C43" s="781"/>
      <c r="D43" s="781"/>
      <c r="E43" s="781"/>
      <c r="F43" s="781"/>
      <c r="G43" s="781"/>
      <c r="H43" s="781"/>
      <c r="I43" s="781"/>
      <c r="J43" s="781"/>
      <c r="K43" s="662" t="s">
        <v>3055</v>
      </c>
      <c r="L43" s="1124" t="s">
        <v>2951</v>
      </c>
      <c r="M43" s="1124"/>
      <c r="N43" s="1124"/>
      <c r="O43" s="1124"/>
      <c r="P43" s="1124"/>
      <c r="Q43" s="1124"/>
      <c r="R43" s="1124"/>
      <c r="S43" s="1125"/>
      <c r="T43" s="1125"/>
      <c r="U43" s="1125"/>
      <c r="V43" s="1125"/>
      <c r="W43" s="1125"/>
      <c r="X43" s="1125"/>
      <c r="Y43" s="1125"/>
      <c r="Z43" s="1125"/>
      <c r="AA43" s="1125"/>
      <c r="AB43" s="1125"/>
      <c r="AC43" s="1125"/>
      <c r="AD43" s="1125"/>
      <c r="AE43" s="1125"/>
      <c r="AF43" s="1125"/>
      <c r="AG43" s="1125"/>
      <c r="AH43" s="1125"/>
      <c r="AI43" s="1125"/>
      <c r="AJ43" s="1125"/>
      <c r="AK43" s="1125"/>
      <c r="AL43" s="1125"/>
      <c r="AM43" s="1125"/>
    </row>
  </sheetData>
  <sheetProtection formatColumns="0" formatRows="0" autoFilter="0"/>
  <mergeCells count="7">
    <mergeCell ref="L43:AM43"/>
    <mergeCell ref="L41:AM41"/>
    <mergeCell ref="L42:AM42"/>
    <mergeCell ref="L14:L15"/>
    <mergeCell ref="M14:M15"/>
    <mergeCell ref="N14:N15"/>
    <mergeCell ref="AM14:AM15"/>
  </mergeCells>
  <dataValidations count="3">
    <dataValidation allowBlank="1" showInputMessage="1" showErrorMessage="1" sqref="S27:AL27 S39:AL39 S40:AM65499"/>
    <dataValidation type="textLength" operator="lessThanOrEqual" allowBlank="1" showInputMessage="1" showErrorMessage="1" errorTitle="Ошибка" error="Допускается ввод не более 900 символов!" sqref="AM17:AM26 AM29:AM38">
      <formula1>900</formula1>
    </dataValidation>
    <dataValidation type="decimal" allowBlank="1" showErrorMessage="1" errorTitle="Ошибка" error="Допускается ввод только неотрицательных чисел!" sqref="O18:AL25 O30:AL37">
      <formula1>0</formula1>
      <formula2>9.99999999999999E+23</formula2>
    </dataValidation>
  </dataValidations>
  <pageMargins left="0.35433070866141736" right="0.35433070866141736" top="0.39370078740157483" bottom="0.47244094488188981" header="0.31496062992125984" footer="0.31496062992125984"/>
  <pageSetup paperSize="9" scale="75" fitToWidth="0" fitToHeight="0" orientation="landscape"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AO92"/>
  <sheetViews>
    <sheetView showGridLines="0" view="pageBreakPreview" zoomScale="60" zoomScaleNormal="100" workbookViewId="0">
      <pane xSplit="14" ySplit="17" topLeftCell="O18" activePane="bottomRight" state="frozen"/>
      <selection activeCell="M11" sqref="M11"/>
      <selection pane="topRight" activeCell="M11" sqref="M11"/>
      <selection pane="bottomLeft" activeCell="M11" sqref="M11"/>
      <selection pane="bottomRight"/>
    </sheetView>
  </sheetViews>
  <sheetFormatPr defaultColWidth="8.875" defaultRowHeight="11.4"/>
  <cols>
    <col min="1" max="10" width="8.875" style="101" hidden="1" customWidth="1"/>
    <col min="11" max="11" width="3.75" style="101" hidden="1" customWidth="1"/>
    <col min="12" max="12" width="8" style="101" customWidth="1"/>
    <col min="13" max="13" width="54.75" style="101" customWidth="1"/>
    <col min="14" max="14" width="11.875" style="101" customWidth="1"/>
    <col min="15" max="15" width="14.875" style="101" customWidth="1"/>
    <col min="16" max="16" width="13.25" style="101" customWidth="1"/>
    <col min="17" max="17" width="15" style="101" customWidth="1"/>
    <col min="18" max="18" width="15.125" style="101" customWidth="1"/>
    <col min="19" max="19" width="15" style="101" customWidth="1"/>
    <col min="20" max="21" width="13.25" style="101" customWidth="1"/>
    <col min="22" max="30" width="13.25" style="101" hidden="1" customWidth="1"/>
    <col min="31" max="31" width="13.25" style="101" customWidth="1"/>
    <col min="32" max="40" width="13.25" style="101" hidden="1" customWidth="1"/>
    <col min="41" max="41" width="21.25" style="101" customWidth="1"/>
    <col min="42" max="16384" width="8.875" style="101"/>
  </cols>
  <sheetData>
    <row r="1" spans="1:41" hidden="1">
      <c r="A1" s="874"/>
      <c r="B1" s="874"/>
      <c r="C1" s="874"/>
      <c r="D1" s="874"/>
      <c r="E1" s="874"/>
      <c r="F1" s="874"/>
      <c r="G1" s="874"/>
      <c r="H1" s="874"/>
      <c r="I1" s="874"/>
      <c r="J1" s="874"/>
      <c r="K1" s="874"/>
      <c r="L1" s="874"/>
      <c r="M1" s="874"/>
      <c r="N1" s="874"/>
      <c r="O1" s="874">
        <v>2022</v>
      </c>
      <c r="P1" s="874">
        <v>2022</v>
      </c>
      <c r="Q1" s="874">
        <v>2022</v>
      </c>
      <c r="R1" s="874">
        <v>2022</v>
      </c>
      <c r="S1" s="874">
        <v>2023</v>
      </c>
      <c r="T1" s="874">
        <v>2023</v>
      </c>
      <c r="U1" s="781">
        <v>2024</v>
      </c>
      <c r="V1" s="781">
        <v>2025</v>
      </c>
      <c r="W1" s="781">
        <v>2026</v>
      </c>
      <c r="X1" s="781">
        <v>2027</v>
      </c>
      <c r="Y1" s="781">
        <v>2028</v>
      </c>
      <c r="Z1" s="781">
        <v>2029</v>
      </c>
      <c r="AA1" s="781">
        <v>2030</v>
      </c>
      <c r="AB1" s="781">
        <v>2031</v>
      </c>
      <c r="AC1" s="781">
        <v>2032</v>
      </c>
      <c r="AD1" s="781">
        <v>2033</v>
      </c>
      <c r="AE1" s="781">
        <v>2024</v>
      </c>
      <c r="AF1" s="781">
        <v>2025</v>
      </c>
      <c r="AG1" s="781">
        <v>2026</v>
      </c>
      <c r="AH1" s="781">
        <v>2027</v>
      </c>
      <c r="AI1" s="781">
        <v>2028</v>
      </c>
      <c r="AJ1" s="781">
        <v>2029</v>
      </c>
      <c r="AK1" s="781">
        <v>2030</v>
      </c>
      <c r="AL1" s="781">
        <v>2031</v>
      </c>
      <c r="AM1" s="781">
        <v>2032</v>
      </c>
      <c r="AN1" s="781">
        <v>2033</v>
      </c>
      <c r="AO1" s="874"/>
    </row>
    <row r="2" spans="1:41" hidden="1">
      <c r="A2" s="874"/>
      <c r="B2" s="874"/>
      <c r="C2" s="874"/>
      <c r="D2" s="874"/>
      <c r="E2" s="874"/>
      <c r="F2" s="874"/>
      <c r="G2" s="874"/>
      <c r="H2" s="874"/>
      <c r="I2" s="874"/>
      <c r="J2" s="874"/>
      <c r="K2" s="874"/>
      <c r="L2" s="874"/>
      <c r="M2" s="874"/>
      <c r="N2" s="874"/>
      <c r="O2" s="874" t="s">
        <v>1166</v>
      </c>
      <c r="P2" s="874" t="s">
        <v>268</v>
      </c>
      <c r="Q2" s="874" t="s">
        <v>418</v>
      </c>
      <c r="R2" s="874" t="s">
        <v>419</v>
      </c>
      <c r="S2" s="874" t="s">
        <v>1166</v>
      </c>
      <c r="T2" s="874" t="s">
        <v>268</v>
      </c>
      <c r="U2" s="874" t="s">
        <v>269</v>
      </c>
      <c r="V2" s="874" t="s">
        <v>269</v>
      </c>
      <c r="W2" s="874" t="s">
        <v>269</v>
      </c>
      <c r="X2" s="874" t="s">
        <v>269</v>
      </c>
      <c r="Y2" s="874" t="s">
        <v>269</v>
      </c>
      <c r="Z2" s="874" t="s">
        <v>269</v>
      </c>
      <c r="AA2" s="874" t="s">
        <v>269</v>
      </c>
      <c r="AB2" s="874" t="s">
        <v>269</v>
      </c>
      <c r="AC2" s="874" t="s">
        <v>269</v>
      </c>
      <c r="AD2" s="874" t="s">
        <v>269</v>
      </c>
      <c r="AE2" s="874" t="s">
        <v>268</v>
      </c>
      <c r="AF2" s="874" t="s">
        <v>268</v>
      </c>
      <c r="AG2" s="874" t="s">
        <v>268</v>
      </c>
      <c r="AH2" s="874" t="s">
        <v>268</v>
      </c>
      <c r="AI2" s="874" t="s">
        <v>268</v>
      </c>
      <c r="AJ2" s="874" t="s">
        <v>268</v>
      </c>
      <c r="AK2" s="874" t="s">
        <v>268</v>
      </c>
      <c r="AL2" s="874" t="s">
        <v>268</v>
      </c>
      <c r="AM2" s="874" t="s">
        <v>268</v>
      </c>
      <c r="AN2" s="874" t="s">
        <v>268</v>
      </c>
      <c r="AO2" s="874"/>
    </row>
    <row r="3" spans="1:41" hidden="1">
      <c r="A3" s="874"/>
      <c r="B3" s="874"/>
      <c r="C3" s="874"/>
      <c r="D3" s="874"/>
      <c r="E3" s="874"/>
      <c r="F3" s="874"/>
      <c r="G3" s="874"/>
      <c r="H3" s="874"/>
      <c r="I3" s="874"/>
      <c r="J3" s="874"/>
      <c r="K3" s="874"/>
      <c r="L3" s="874"/>
      <c r="M3" s="874"/>
      <c r="N3" s="874"/>
      <c r="O3" s="874"/>
      <c r="P3" s="874"/>
      <c r="Q3" s="874"/>
      <c r="R3" s="874"/>
      <c r="S3" s="874"/>
      <c r="T3" s="874"/>
      <c r="U3" s="781"/>
      <c r="V3" s="781"/>
      <c r="W3" s="781"/>
      <c r="X3" s="781"/>
      <c r="Y3" s="781"/>
      <c r="Z3" s="781"/>
      <c r="AA3" s="781"/>
      <c r="AB3" s="781"/>
      <c r="AC3" s="781"/>
      <c r="AD3" s="781"/>
      <c r="AE3" s="781"/>
      <c r="AF3" s="781"/>
      <c r="AG3" s="781"/>
      <c r="AH3" s="781"/>
      <c r="AI3" s="781"/>
      <c r="AJ3" s="781"/>
      <c r="AK3" s="781"/>
      <c r="AL3" s="781"/>
      <c r="AM3" s="781"/>
      <c r="AN3" s="781"/>
      <c r="AO3" s="874"/>
    </row>
    <row r="4" spans="1:41" hidden="1">
      <c r="A4" s="874"/>
      <c r="B4" s="874"/>
      <c r="C4" s="874"/>
      <c r="D4" s="874"/>
      <c r="E4" s="874"/>
      <c r="F4" s="874"/>
      <c r="G4" s="874"/>
      <c r="H4" s="874"/>
      <c r="I4" s="874"/>
      <c r="J4" s="874"/>
      <c r="K4" s="874"/>
      <c r="L4" s="874"/>
      <c r="M4" s="874"/>
      <c r="N4" s="874"/>
      <c r="O4" s="874"/>
      <c r="P4" s="874"/>
      <c r="Q4" s="874"/>
      <c r="R4" s="874"/>
      <c r="S4" s="874"/>
      <c r="T4" s="874"/>
      <c r="U4" s="781"/>
      <c r="V4" s="781"/>
      <c r="W4" s="781"/>
      <c r="X4" s="781"/>
      <c r="Y4" s="781"/>
      <c r="Z4" s="781"/>
      <c r="AA4" s="781"/>
      <c r="AB4" s="781"/>
      <c r="AC4" s="781"/>
      <c r="AD4" s="781"/>
      <c r="AE4" s="781"/>
      <c r="AF4" s="781"/>
      <c r="AG4" s="781"/>
      <c r="AH4" s="781"/>
      <c r="AI4" s="781"/>
      <c r="AJ4" s="781"/>
      <c r="AK4" s="781"/>
      <c r="AL4" s="781"/>
      <c r="AM4" s="781"/>
      <c r="AN4" s="781"/>
      <c r="AO4" s="874"/>
    </row>
    <row r="5" spans="1:41" hidden="1">
      <c r="A5" s="874"/>
      <c r="B5" s="874"/>
      <c r="C5" s="874"/>
      <c r="D5" s="874"/>
      <c r="E5" s="874"/>
      <c r="F5" s="874"/>
      <c r="G5" s="874"/>
      <c r="H5" s="874"/>
      <c r="I5" s="874"/>
      <c r="J5" s="874"/>
      <c r="K5" s="874"/>
      <c r="L5" s="874"/>
      <c r="M5" s="874"/>
      <c r="N5" s="874"/>
      <c r="O5" s="874"/>
      <c r="P5" s="874"/>
      <c r="Q5" s="874"/>
      <c r="R5" s="874"/>
      <c r="S5" s="874"/>
      <c r="T5" s="874"/>
      <c r="U5" s="781"/>
      <c r="V5" s="781"/>
      <c r="W5" s="781"/>
      <c r="X5" s="781"/>
      <c r="Y5" s="781"/>
      <c r="Z5" s="781"/>
      <c r="AA5" s="781"/>
      <c r="AB5" s="781"/>
      <c r="AC5" s="781"/>
      <c r="AD5" s="781"/>
      <c r="AE5" s="781"/>
      <c r="AF5" s="781"/>
      <c r="AG5" s="781"/>
      <c r="AH5" s="781"/>
      <c r="AI5" s="781"/>
      <c r="AJ5" s="781"/>
      <c r="AK5" s="781"/>
      <c r="AL5" s="781"/>
      <c r="AM5" s="781"/>
      <c r="AN5" s="781"/>
      <c r="AO5" s="874"/>
    </row>
    <row r="6" spans="1:41" hidden="1">
      <c r="A6" s="874"/>
      <c r="B6" s="874"/>
      <c r="C6" s="874"/>
      <c r="D6" s="874"/>
      <c r="E6" s="874"/>
      <c r="F6" s="874"/>
      <c r="G6" s="874"/>
      <c r="H6" s="874"/>
      <c r="I6" s="874"/>
      <c r="J6" s="874"/>
      <c r="K6" s="874"/>
      <c r="L6" s="874"/>
      <c r="M6" s="874"/>
      <c r="N6" s="874"/>
      <c r="O6" s="874"/>
      <c r="P6" s="874"/>
      <c r="Q6" s="874"/>
      <c r="R6" s="874"/>
      <c r="S6" s="874"/>
      <c r="T6" s="874"/>
      <c r="U6" s="781"/>
      <c r="V6" s="781"/>
      <c r="W6" s="781"/>
      <c r="X6" s="781"/>
      <c r="Y6" s="781"/>
      <c r="Z6" s="781"/>
      <c r="AA6" s="781"/>
      <c r="AB6" s="781"/>
      <c r="AC6" s="781"/>
      <c r="AD6" s="781"/>
      <c r="AE6" s="781"/>
      <c r="AF6" s="781"/>
      <c r="AG6" s="781"/>
      <c r="AH6" s="781"/>
      <c r="AI6" s="781"/>
      <c r="AJ6" s="781"/>
      <c r="AK6" s="781"/>
      <c r="AL6" s="781"/>
      <c r="AM6" s="781"/>
      <c r="AN6" s="781"/>
      <c r="AO6" s="874"/>
    </row>
    <row r="7" spans="1:41" hidden="1">
      <c r="A7" s="874"/>
      <c r="B7" s="874"/>
      <c r="C7" s="874"/>
      <c r="D7" s="874"/>
      <c r="E7" s="874"/>
      <c r="F7" s="874"/>
      <c r="G7" s="874"/>
      <c r="H7" s="874"/>
      <c r="I7" s="874"/>
      <c r="J7" s="874"/>
      <c r="K7" s="874"/>
      <c r="L7" s="874"/>
      <c r="M7" s="874"/>
      <c r="N7" s="874"/>
      <c r="O7" s="874"/>
      <c r="P7" s="874"/>
      <c r="Q7" s="874"/>
      <c r="R7" s="874"/>
      <c r="S7" s="874"/>
      <c r="T7" s="874"/>
      <c r="U7" s="731" t="b">
        <v>1</v>
      </c>
      <c r="V7" s="731" t="b">
        <v>0</v>
      </c>
      <c r="W7" s="731" t="b">
        <v>0</v>
      </c>
      <c r="X7" s="731" t="b">
        <v>0</v>
      </c>
      <c r="Y7" s="731" t="b">
        <v>0</v>
      </c>
      <c r="Z7" s="731" t="b">
        <v>0</v>
      </c>
      <c r="AA7" s="731" t="b">
        <v>0</v>
      </c>
      <c r="AB7" s="731" t="b">
        <v>0</v>
      </c>
      <c r="AC7" s="731" t="b">
        <v>0</v>
      </c>
      <c r="AD7" s="731" t="b">
        <v>0</v>
      </c>
      <c r="AE7" s="731" t="b">
        <v>1</v>
      </c>
      <c r="AF7" s="731" t="b">
        <v>0</v>
      </c>
      <c r="AG7" s="731" t="b">
        <v>0</v>
      </c>
      <c r="AH7" s="731" t="b">
        <v>0</v>
      </c>
      <c r="AI7" s="731" t="b">
        <v>0</v>
      </c>
      <c r="AJ7" s="731" t="b">
        <v>0</v>
      </c>
      <c r="AK7" s="731" t="b">
        <v>0</v>
      </c>
      <c r="AL7" s="731" t="b">
        <v>0</v>
      </c>
      <c r="AM7" s="731" t="b">
        <v>0</v>
      </c>
      <c r="AN7" s="731" t="b">
        <v>0</v>
      </c>
      <c r="AO7" s="874"/>
    </row>
    <row r="8" spans="1:41" hidden="1">
      <c r="A8" s="874"/>
      <c r="B8" s="874"/>
      <c r="C8" s="874"/>
      <c r="D8" s="874"/>
      <c r="E8" s="874"/>
      <c r="F8" s="874"/>
      <c r="G8" s="874"/>
      <c r="H8" s="874"/>
      <c r="I8" s="874"/>
      <c r="J8" s="874"/>
      <c r="K8" s="874"/>
      <c r="L8" s="874"/>
      <c r="M8" s="874"/>
      <c r="N8" s="874"/>
      <c r="O8" s="874"/>
      <c r="P8" s="874"/>
      <c r="Q8" s="874"/>
      <c r="R8" s="874"/>
      <c r="S8" s="874"/>
      <c r="T8" s="874"/>
      <c r="U8" s="874"/>
      <c r="V8" s="874"/>
      <c r="W8" s="874"/>
      <c r="X8" s="874"/>
      <c r="Y8" s="874"/>
      <c r="Z8" s="874"/>
      <c r="AA8" s="874"/>
      <c r="AB8" s="874"/>
      <c r="AC8" s="874"/>
      <c r="AD8" s="874"/>
      <c r="AE8" s="874"/>
      <c r="AF8" s="874"/>
      <c r="AG8" s="874"/>
      <c r="AH8" s="874"/>
      <c r="AI8" s="874"/>
      <c r="AJ8" s="874"/>
      <c r="AK8" s="874"/>
      <c r="AL8" s="874"/>
      <c r="AM8" s="874"/>
      <c r="AN8" s="874"/>
      <c r="AO8" s="874"/>
    </row>
    <row r="9" spans="1:41" hidden="1">
      <c r="A9" s="874"/>
      <c r="B9" s="874"/>
      <c r="C9" s="874"/>
      <c r="D9" s="874"/>
      <c r="E9" s="874"/>
      <c r="F9" s="874"/>
      <c r="G9" s="874"/>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row>
    <row r="10" spans="1:41" hidden="1">
      <c r="A10" s="874"/>
      <c r="B10" s="874"/>
      <c r="C10" s="874"/>
      <c r="D10" s="874"/>
      <c r="E10" s="874"/>
      <c r="F10" s="874"/>
      <c r="G10" s="874"/>
      <c r="H10" s="874"/>
      <c r="I10" s="874"/>
      <c r="J10" s="874"/>
      <c r="K10" s="874"/>
      <c r="L10" s="874"/>
      <c r="M10" s="874"/>
      <c r="N10" s="874"/>
      <c r="O10" s="874"/>
      <c r="P10" s="874"/>
      <c r="Q10" s="874"/>
      <c r="R10" s="874"/>
      <c r="S10" s="874"/>
      <c r="T10" s="874"/>
      <c r="U10" s="874"/>
      <c r="V10" s="874"/>
      <c r="W10" s="874"/>
      <c r="X10" s="874"/>
      <c r="Y10" s="874"/>
      <c r="Z10" s="874"/>
      <c r="AA10" s="874"/>
      <c r="AB10" s="874"/>
      <c r="AC10" s="874"/>
      <c r="AD10" s="874"/>
      <c r="AE10" s="874"/>
      <c r="AF10" s="874"/>
      <c r="AG10" s="874"/>
      <c r="AH10" s="874"/>
      <c r="AI10" s="874"/>
      <c r="AJ10" s="874"/>
      <c r="AK10" s="874"/>
      <c r="AL10" s="874"/>
      <c r="AM10" s="874"/>
      <c r="AN10" s="874"/>
      <c r="AO10" s="874"/>
    </row>
    <row r="11" spans="1:41" s="99" customFormat="1" ht="15" hidden="1" customHeight="1">
      <c r="A11" s="875"/>
      <c r="B11" s="875"/>
      <c r="C11" s="875"/>
      <c r="D11" s="875"/>
      <c r="E11" s="875"/>
      <c r="F11" s="875"/>
      <c r="G11" s="875"/>
      <c r="H11" s="875"/>
      <c r="I11" s="875"/>
      <c r="J11" s="875"/>
      <c r="K11" s="875"/>
      <c r="L11" s="875"/>
      <c r="M11" s="876"/>
      <c r="N11" s="875"/>
      <c r="O11" s="875"/>
      <c r="P11" s="875"/>
      <c r="Q11" s="875"/>
      <c r="R11" s="875"/>
      <c r="S11" s="875"/>
      <c r="T11" s="875"/>
      <c r="U11" s="875"/>
      <c r="V11" s="875"/>
      <c r="W11" s="875"/>
      <c r="X11" s="875"/>
      <c r="Y11" s="875"/>
      <c r="Z11" s="875"/>
      <c r="AA11" s="875"/>
      <c r="AB11" s="875"/>
      <c r="AC11" s="875"/>
      <c r="AD11" s="875"/>
      <c r="AE11" s="875"/>
      <c r="AF11" s="875"/>
      <c r="AG11" s="875"/>
      <c r="AH11" s="875"/>
      <c r="AI11" s="875"/>
      <c r="AJ11" s="875"/>
      <c r="AK11" s="875"/>
      <c r="AL11" s="875"/>
      <c r="AM11" s="875"/>
      <c r="AN11" s="875"/>
      <c r="AO11" s="875"/>
    </row>
    <row r="12" spans="1:41" s="99" customFormat="1" ht="20.100000000000001" customHeight="1">
      <c r="A12" s="875"/>
      <c r="B12" s="875"/>
      <c r="C12" s="875"/>
      <c r="D12" s="875"/>
      <c r="E12" s="875"/>
      <c r="F12" s="875"/>
      <c r="G12" s="875"/>
      <c r="H12" s="875"/>
      <c r="I12" s="875"/>
      <c r="J12" s="875"/>
      <c r="K12" s="875"/>
      <c r="L12" s="419" t="s">
        <v>1250</v>
      </c>
      <c r="M12" s="250"/>
      <c r="N12" s="250"/>
      <c r="O12" s="250"/>
      <c r="P12" s="250"/>
      <c r="Q12" s="250"/>
      <c r="R12" s="250"/>
      <c r="S12" s="250"/>
      <c r="T12" s="250"/>
      <c r="U12" s="250"/>
      <c r="V12" s="250"/>
      <c r="W12" s="250"/>
      <c r="X12" s="250"/>
      <c r="Y12" s="250"/>
      <c r="Z12" s="250"/>
      <c r="AA12" s="250"/>
      <c r="AB12" s="250"/>
      <c r="AC12" s="250"/>
      <c r="AD12" s="250"/>
      <c r="AE12" s="250"/>
      <c r="AF12" s="251"/>
      <c r="AG12" s="251"/>
      <c r="AH12" s="251"/>
      <c r="AI12" s="251"/>
      <c r="AJ12" s="251"/>
      <c r="AK12" s="251"/>
      <c r="AL12" s="251"/>
      <c r="AM12" s="251"/>
      <c r="AN12" s="251"/>
      <c r="AO12" s="251"/>
    </row>
    <row r="13" spans="1:41" s="99" customFormat="1" ht="11.25" hidden="1" customHeight="1">
      <c r="A13" s="875"/>
      <c r="B13" s="875"/>
      <c r="C13" s="875"/>
      <c r="D13" s="875"/>
      <c r="E13" s="875"/>
      <c r="F13" s="875"/>
      <c r="G13" s="875"/>
      <c r="H13" s="875"/>
      <c r="I13" s="875"/>
      <c r="J13" s="875"/>
      <c r="K13" s="875"/>
      <c r="L13" s="875"/>
      <c r="M13" s="875"/>
      <c r="N13" s="875"/>
      <c r="O13" s="875"/>
      <c r="P13" s="875"/>
      <c r="Q13" s="875"/>
      <c r="R13" s="875"/>
      <c r="S13" s="875"/>
      <c r="T13" s="875"/>
      <c r="U13" s="875"/>
      <c r="V13" s="875"/>
      <c r="W13" s="875"/>
      <c r="X13" s="875"/>
      <c r="Y13" s="875"/>
      <c r="Z13" s="875"/>
      <c r="AA13" s="875"/>
      <c r="AB13" s="875"/>
      <c r="AC13" s="875"/>
      <c r="AD13" s="875"/>
      <c r="AE13" s="875"/>
      <c r="AF13" s="875"/>
      <c r="AG13" s="875"/>
      <c r="AH13" s="875"/>
      <c r="AI13" s="875"/>
      <c r="AJ13" s="875"/>
      <c r="AK13" s="875"/>
      <c r="AL13" s="875"/>
      <c r="AM13" s="875"/>
      <c r="AN13" s="875"/>
      <c r="AO13" s="875"/>
    </row>
    <row r="14" spans="1:41" s="99" customFormat="1" ht="22.5" hidden="1" customHeight="1">
      <c r="A14" s="875"/>
      <c r="B14" s="875"/>
      <c r="C14" s="875"/>
      <c r="D14" s="875"/>
      <c r="E14" s="875"/>
      <c r="F14" s="875"/>
      <c r="G14" s="875"/>
      <c r="H14" s="875"/>
      <c r="I14" s="875"/>
      <c r="J14" s="875"/>
      <c r="K14" s="875"/>
      <c r="L14" s="1135" t="s">
        <v>1296</v>
      </c>
      <c r="M14" s="1135"/>
      <c r="N14" s="877" t="s">
        <v>21</v>
      </c>
      <c r="O14" s="875"/>
      <c r="P14" s="875"/>
      <c r="Q14" s="875"/>
      <c r="R14" s="875"/>
      <c r="S14" s="875"/>
      <c r="T14" s="875"/>
      <c r="U14" s="875"/>
      <c r="V14" s="875"/>
      <c r="W14" s="875"/>
      <c r="X14" s="875"/>
      <c r="Y14" s="875"/>
      <c r="Z14" s="875"/>
      <c r="AA14" s="875"/>
      <c r="AB14" s="875"/>
      <c r="AC14" s="875"/>
      <c r="AD14" s="875"/>
      <c r="AE14" s="875"/>
      <c r="AF14" s="875"/>
      <c r="AG14" s="875"/>
      <c r="AH14" s="875"/>
      <c r="AI14" s="875"/>
      <c r="AJ14" s="875"/>
      <c r="AK14" s="875"/>
      <c r="AL14" s="875"/>
      <c r="AM14" s="875"/>
      <c r="AN14" s="875"/>
      <c r="AO14" s="875"/>
    </row>
    <row r="15" spans="1:41" s="99" customFormat="1" ht="11.25" customHeight="1">
      <c r="A15" s="875"/>
      <c r="B15" s="875"/>
      <c r="C15" s="875"/>
      <c r="D15" s="875"/>
      <c r="E15" s="875"/>
      <c r="F15" s="875"/>
      <c r="G15" s="875"/>
      <c r="H15" s="875"/>
      <c r="I15" s="875"/>
      <c r="J15" s="875"/>
      <c r="K15" s="875"/>
      <c r="L15" s="875"/>
      <c r="M15" s="875"/>
      <c r="N15" s="875"/>
      <c r="O15" s="875"/>
      <c r="P15" s="875"/>
      <c r="Q15" s="875"/>
      <c r="R15" s="875"/>
      <c r="S15" s="875"/>
      <c r="T15" s="875"/>
      <c r="U15" s="875"/>
      <c r="V15" s="875"/>
      <c r="W15" s="875"/>
      <c r="X15" s="875"/>
      <c r="Y15" s="875"/>
      <c r="Z15" s="875"/>
      <c r="AA15" s="875"/>
      <c r="AB15" s="875"/>
      <c r="AC15" s="875"/>
      <c r="AD15" s="875"/>
      <c r="AE15" s="875"/>
      <c r="AF15" s="875"/>
      <c r="AG15" s="875"/>
      <c r="AH15" s="875"/>
      <c r="AI15" s="875"/>
      <c r="AJ15" s="875"/>
      <c r="AK15" s="875"/>
      <c r="AL15" s="875"/>
      <c r="AM15" s="875"/>
      <c r="AN15" s="875"/>
      <c r="AO15" s="875"/>
    </row>
    <row r="16" spans="1:41" s="99" customFormat="1" ht="15" customHeight="1">
      <c r="A16" s="875"/>
      <c r="B16" s="875"/>
      <c r="C16" s="875"/>
      <c r="D16" s="875"/>
      <c r="E16" s="875"/>
      <c r="F16" s="875"/>
      <c r="G16" s="875"/>
      <c r="H16" s="875"/>
      <c r="I16" s="875"/>
      <c r="J16" s="875"/>
      <c r="K16" s="875"/>
      <c r="L16" s="1109" t="s">
        <v>16</v>
      </c>
      <c r="M16" s="1140" t="s">
        <v>417</v>
      </c>
      <c r="N16" s="1140" t="s">
        <v>135</v>
      </c>
      <c r="O16" s="878" t="s">
        <v>3010</v>
      </c>
      <c r="P16" s="878" t="s">
        <v>3010</v>
      </c>
      <c r="Q16" s="878" t="s">
        <v>3010</v>
      </c>
      <c r="R16" s="878" t="s">
        <v>3010</v>
      </c>
      <c r="S16" s="879" t="s">
        <v>3011</v>
      </c>
      <c r="T16" s="879" t="s">
        <v>3011</v>
      </c>
      <c r="U16" s="747" t="s">
        <v>3012</v>
      </c>
      <c r="V16" s="747" t="s">
        <v>3046</v>
      </c>
      <c r="W16" s="747" t="s">
        <v>3047</v>
      </c>
      <c r="X16" s="747" t="s">
        <v>3048</v>
      </c>
      <c r="Y16" s="747" t="s">
        <v>3049</v>
      </c>
      <c r="Z16" s="747" t="s">
        <v>3050</v>
      </c>
      <c r="AA16" s="747" t="s">
        <v>3051</v>
      </c>
      <c r="AB16" s="747" t="s">
        <v>3052</v>
      </c>
      <c r="AC16" s="747" t="s">
        <v>3053</v>
      </c>
      <c r="AD16" s="747" t="s">
        <v>3054</v>
      </c>
      <c r="AE16" s="747" t="s">
        <v>3012</v>
      </c>
      <c r="AF16" s="747" t="s">
        <v>3046</v>
      </c>
      <c r="AG16" s="747" t="s">
        <v>3047</v>
      </c>
      <c r="AH16" s="747" t="s">
        <v>3048</v>
      </c>
      <c r="AI16" s="747" t="s">
        <v>3049</v>
      </c>
      <c r="AJ16" s="747" t="s">
        <v>3050</v>
      </c>
      <c r="AK16" s="747" t="s">
        <v>3051</v>
      </c>
      <c r="AL16" s="747" t="s">
        <v>3052</v>
      </c>
      <c r="AM16" s="747" t="s">
        <v>3053</v>
      </c>
      <c r="AN16" s="747" t="s">
        <v>3054</v>
      </c>
      <c r="AO16" s="1136" t="s">
        <v>305</v>
      </c>
    </row>
    <row r="17" spans="1:41" s="100" customFormat="1" ht="126" customHeight="1">
      <c r="A17" s="880"/>
      <c r="B17" s="880"/>
      <c r="C17" s="880"/>
      <c r="D17" s="880"/>
      <c r="E17" s="880"/>
      <c r="F17" s="880"/>
      <c r="G17" s="880"/>
      <c r="H17" s="880"/>
      <c r="I17" s="880"/>
      <c r="J17" s="880"/>
      <c r="K17" s="880"/>
      <c r="L17" s="1109"/>
      <c r="M17" s="1140"/>
      <c r="N17" s="1140"/>
      <c r="O17" s="878" t="s">
        <v>1166</v>
      </c>
      <c r="P17" s="881" t="s">
        <v>268</v>
      </c>
      <c r="Q17" s="881" t="s">
        <v>418</v>
      </c>
      <c r="R17" s="881" t="s">
        <v>419</v>
      </c>
      <c r="S17" s="881" t="s">
        <v>1166</v>
      </c>
      <c r="T17" s="882" t="s">
        <v>268</v>
      </c>
      <c r="U17" s="784" t="s">
        <v>269</v>
      </c>
      <c r="V17" s="784" t="s">
        <v>269</v>
      </c>
      <c r="W17" s="784" t="s">
        <v>269</v>
      </c>
      <c r="X17" s="784" t="s">
        <v>269</v>
      </c>
      <c r="Y17" s="784" t="s">
        <v>269</v>
      </c>
      <c r="Z17" s="784" t="s">
        <v>269</v>
      </c>
      <c r="AA17" s="784" t="s">
        <v>269</v>
      </c>
      <c r="AB17" s="784" t="s">
        <v>269</v>
      </c>
      <c r="AC17" s="784" t="s">
        <v>269</v>
      </c>
      <c r="AD17" s="784" t="s">
        <v>269</v>
      </c>
      <c r="AE17" s="784" t="s">
        <v>268</v>
      </c>
      <c r="AF17" s="784" t="s">
        <v>268</v>
      </c>
      <c r="AG17" s="784" t="s">
        <v>268</v>
      </c>
      <c r="AH17" s="784" t="s">
        <v>268</v>
      </c>
      <c r="AI17" s="784" t="s">
        <v>268</v>
      </c>
      <c r="AJ17" s="784" t="s">
        <v>268</v>
      </c>
      <c r="AK17" s="784" t="s">
        <v>268</v>
      </c>
      <c r="AL17" s="784" t="s">
        <v>268</v>
      </c>
      <c r="AM17" s="784" t="s">
        <v>268</v>
      </c>
      <c r="AN17" s="784" t="s">
        <v>268</v>
      </c>
      <c r="AO17" s="1136"/>
    </row>
    <row r="18" spans="1:41" s="263" customFormat="1" ht="22.8" hidden="1">
      <c r="A18" s="883"/>
      <c r="B18" s="874" t="b">
        <v>0</v>
      </c>
      <c r="C18" s="874" t="s">
        <v>1406</v>
      </c>
      <c r="D18" s="884"/>
      <c r="E18" s="884"/>
      <c r="F18" s="884"/>
      <c r="G18" s="884"/>
      <c r="H18" s="884"/>
      <c r="I18" s="884"/>
      <c r="J18" s="884"/>
      <c r="K18" s="884"/>
      <c r="L18" s="261">
        <v>1</v>
      </c>
      <c r="M18" s="256" t="s">
        <v>420</v>
      </c>
      <c r="N18" s="262" t="s">
        <v>352</v>
      </c>
      <c r="O18" s="885">
        <v>0</v>
      </c>
      <c r="P18" s="885">
        <v>0</v>
      </c>
      <c r="Q18" s="885">
        <v>0</v>
      </c>
      <c r="R18" s="885">
        <v>0</v>
      </c>
      <c r="S18" s="885">
        <v>0</v>
      </c>
      <c r="T18" s="885">
        <v>0</v>
      </c>
      <c r="U18" s="885">
        <v>0</v>
      </c>
      <c r="V18" s="885">
        <v>0</v>
      </c>
      <c r="W18" s="885">
        <v>0</v>
      </c>
      <c r="X18" s="885">
        <v>0</v>
      </c>
      <c r="Y18" s="885">
        <v>0</v>
      </c>
      <c r="Z18" s="885">
        <v>0</v>
      </c>
      <c r="AA18" s="885">
        <v>0</v>
      </c>
      <c r="AB18" s="885">
        <v>0</v>
      </c>
      <c r="AC18" s="885">
        <v>0</v>
      </c>
      <c r="AD18" s="885">
        <v>0</v>
      </c>
      <c r="AE18" s="885">
        <v>0</v>
      </c>
      <c r="AF18" s="885">
        <v>0</v>
      </c>
      <c r="AG18" s="885">
        <v>0</v>
      </c>
      <c r="AH18" s="885">
        <v>0</v>
      </c>
      <c r="AI18" s="885">
        <v>0</v>
      </c>
      <c r="AJ18" s="885">
        <v>0</v>
      </c>
      <c r="AK18" s="885">
        <v>0</v>
      </c>
      <c r="AL18" s="885">
        <v>0</v>
      </c>
      <c r="AM18" s="885">
        <v>0</v>
      </c>
      <c r="AN18" s="885">
        <v>0</v>
      </c>
      <c r="AO18" s="796"/>
    </row>
    <row r="19" spans="1:41" hidden="1">
      <c r="A19" s="883"/>
      <c r="B19" s="874" t="b">
        <v>0</v>
      </c>
      <c r="C19" s="874" t="s">
        <v>1407</v>
      </c>
      <c r="D19" s="874"/>
      <c r="E19" s="874"/>
      <c r="F19" s="874"/>
      <c r="G19" s="874"/>
      <c r="H19" s="874"/>
      <c r="I19" s="874"/>
      <c r="J19" s="874"/>
      <c r="K19" s="874"/>
      <c r="L19" s="258" t="s">
        <v>149</v>
      </c>
      <c r="M19" s="259" t="s">
        <v>421</v>
      </c>
      <c r="N19" s="255" t="s">
        <v>352</v>
      </c>
      <c r="O19" s="886">
        <v>0</v>
      </c>
      <c r="P19" s="886">
        <v>0</v>
      </c>
      <c r="Q19" s="886">
        <v>0</v>
      </c>
      <c r="R19" s="886">
        <v>0</v>
      </c>
      <c r="S19" s="886">
        <v>0</v>
      </c>
      <c r="T19" s="886">
        <v>0</v>
      </c>
      <c r="U19" s="886">
        <v>0</v>
      </c>
      <c r="V19" s="886">
        <v>0</v>
      </c>
      <c r="W19" s="886">
        <v>0</v>
      </c>
      <c r="X19" s="886">
        <v>0</v>
      </c>
      <c r="Y19" s="886">
        <v>0</v>
      </c>
      <c r="Z19" s="886">
        <v>0</v>
      </c>
      <c r="AA19" s="886">
        <v>0</v>
      </c>
      <c r="AB19" s="886">
        <v>0</v>
      </c>
      <c r="AC19" s="886">
        <v>0</v>
      </c>
      <c r="AD19" s="886">
        <v>0</v>
      </c>
      <c r="AE19" s="886">
        <v>0</v>
      </c>
      <c r="AF19" s="886">
        <v>0</v>
      </c>
      <c r="AG19" s="886">
        <v>0</v>
      </c>
      <c r="AH19" s="886">
        <v>0</v>
      </c>
      <c r="AI19" s="886">
        <v>0</v>
      </c>
      <c r="AJ19" s="886">
        <v>0</v>
      </c>
      <c r="AK19" s="886">
        <v>0</v>
      </c>
      <c r="AL19" s="886">
        <v>0</v>
      </c>
      <c r="AM19" s="886">
        <v>0</v>
      </c>
      <c r="AN19" s="886">
        <v>0</v>
      </c>
      <c r="AO19" s="796"/>
    </row>
    <row r="20" spans="1:41" hidden="1">
      <c r="A20" s="883"/>
      <c r="B20" s="874" t="b">
        <v>0</v>
      </c>
      <c r="C20" s="874" t="s">
        <v>1658</v>
      </c>
      <c r="D20" s="874"/>
      <c r="E20" s="874"/>
      <c r="F20" s="874"/>
      <c r="G20" s="874"/>
      <c r="H20" s="874"/>
      <c r="I20" s="874"/>
      <c r="J20" s="874"/>
      <c r="K20" s="874"/>
      <c r="L20" s="258" t="s">
        <v>394</v>
      </c>
      <c r="M20" s="260" t="s">
        <v>422</v>
      </c>
      <c r="N20" s="255" t="s">
        <v>352</v>
      </c>
      <c r="O20" s="887"/>
      <c r="P20" s="887"/>
      <c r="Q20" s="887"/>
      <c r="R20" s="887"/>
      <c r="S20" s="887"/>
      <c r="T20" s="887"/>
      <c r="U20" s="887"/>
      <c r="V20" s="887"/>
      <c r="W20" s="887"/>
      <c r="X20" s="887"/>
      <c r="Y20" s="887"/>
      <c r="Z20" s="887"/>
      <c r="AA20" s="887"/>
      <c r="AB20" s="887"/>
      <c r="AC20" s="887"/>
      <c r="AD20" s="887"/>
      <c r="AE20" s="887"/>
      <c r="AF20" s="887"/>
      <c r="AG20" s="887"/>
      <c r="AH20" s="887"/>
      <c r="AI20" s="887"/>
      <c r="AJ20" s="887"/>
      <c r="AK20" s="887"/>
      <c r="AL20" s="887"/>
      <c r="AM20" s="887"/>
      <c r="AN20" s="887"/>
      <c r="AO20" s="796"/>
    </row>
    <row r="21" spans="1:41" hidden="1">
      <c r="A21" s="883"/>
      <c r="B21" s="874" t="b">
        <v>0</v>
      </c>
      <c r="C21" s="874" t="s">
        <v>1659</v>
      </c>
      <c r="D21" s="874"/>
      <c r="E21" s="874"/>
      <c r="F21" s="874"/>
      <c r="G21" s="874"/>
      <c r="H21" s="874"/>
      <c r="I21" s="874"/>
      <c r="J21" s="874"/>
      <c r="K21" s="874"/>
      <c r="L21" s="258" t="s">
        <v>396</v>
      </c>
      <c r="M21" s="260" t="s">
        <v>1098</v>
      </c>
      <c r="N21" s="255" t="s">
        <v>352</v>
      </c>
      <c r="O21" s="887"/>
      <c r="P21" s="887"/>
      <c r="Q21" s="887"/>
      <c r="R21" s="887"/>
      <c r="S21" s="887"/>
      <c r="T21" s="887"/>
      <c r="U21" s="887"/>
      <c r="V21" s="887"/>
      <c r="W21" s="887"/>
      <c r="X21" s="887"/>
      <c r="Y21" s="887"/>
      <c r="Z21" s="887"/>
      <c r="AA21" s="887"/>
      <c r="AB21" s="887"/>
      <c r="AC21" s="887"/>
      <c r="AD21" s="887"/>
      <c r="AE21" s="887"/>
      <c r="AF21" s="887"/>
      <c r="AG21" s="887"/>
      <c r="AH21" s="887"/>
      <c r="AI21" s="887"/>
      <c r="AJ21" s="887"/>
      <c r="AK21" s="887"/>
      <c r="AL21" s="887"/>
      <c r="AM21" s="887"/>
      <c r="AN21" s="887"/>
      <c r="AO21" s="796"/>
    </row>
    <row r="22" spans="1:41" hidden="1">
      <c r="A22" s="883"/>
      <c r="B22" s="874" t="b">
        <v>0</v>
      </c>
      <c r="C22" s="874" t="s">
        <v>1660</v>
      </c>
      <c r="D22" s="874"/>
      <c r="E22" s="874"/>
      <c r="F22" s="874"/>
      <c r="G22" s="874"/>
      <c r="H22" s="874"/>
      <c r="I22" s="874"/>
      <c r="J22" s="874"/>
      <c r="K22" s="874"/>
      <c r="L22" s="258" t="s">
        <v>1060</v>
      </c>
      <c r="M22" s="260" t="s">
        <v>423</v>
      </c>
      <c r="N22" s="255" t="s">
        <v>352</v>
      </c>
      <c r="O22" s="887"/>
      <c r="P22" s="887"/>
      <c r="Q22" s="887"/>
      <c r="R22" s="887"/>
      <c r="S22" s="887"/>
      <c r="T22" s="887"/>
      <c r="U22" s="887"/>
      <c r="V22" s="887"/>
      <c r="W22" s="887"/>
      <c r="X22" s="887"/>
      <c r="Y22" s="887"/>
      <c r="Z22" s="887"/>
      <c r="AA22" s="887"/>
      <c r="AB22" s="887"/>
      <c r="AC22" s="887"/>
      <c r="AD22" s="887"/>
      <c r="AE22" s="887"/>
      <c r="AF22" s="887"/>
      <c r="AG22" s="887"/>
      <c r="AH22" s="887"/>
      <c r="AI22" s="887"/>
      <c r="AJ22" s="887"/>
      <c r="AK22" s="887"/>
      <c r="AL22" s="887"/>
      <c r="AM22" s="887"/>
      <c r="AN22" s="887"/>
      <c r="AO22" s="796"/>
    </row>
    <row r="23" spans="1:41" hidden="1">
      <c r="A23" s="883"/>
      <c r="B23" s="874" t="b">
        <v>0</v>
      </c>
      <c r="C23" s="874" t="s">
        <v>1661</v>
      </c>
      <c r="D23" s="874"/>
      <c r="E23" s="874"/>
      <c r="F23" s="874"/>
      <c r="G23" s="874"/>
      <c r="H23" s="874"/>
      <c r="I23" s="874"/>
      <c r="J23" s="874"/>
      <c r="K23" s="874"/>
      <c r="L23" s="258" t="s">
        <v>1061</v>
      </c>
      <c r="M23" s="260" t="s">
        <v>424</v>
      </c>
      <c r="N23" s="255" t="s">
        <v>352</v>
      </c>
      <c r="O23" s="887"/>
      <c r="P23" s="887"/>
      <c r="Q23" s="887"/>
      <c r="R23" s="887"/>
      <c r="S23" s="887"/>
      <c r="T23" s="887"/>
      <c r="U23" s="887"/>
      <c r="V23" s="887"/>
      <c r="W23" s="887"/>
      <c r="X23" s="887"/>
      <c r="Y23" s="887"/>
      <c r="Z23" s="887"/>
      <c r="AA23" s="887"/>
      <c r="AB23" s="887"/>
      <c r="AC23" s="887"/>
      <c r="AD23" s="887"/>
      <c r="AE23" s="887"/>
      <c r="AF23" s="887"/>
      <c r="AG23" s="887"/>
      <c r="AH23" s="887"/>
      <c r="AI23" s="887"/>
      <c r="AJ23" s="887"/>
      <c r="AK23" s="887"/>
      <c r="AL23" s="887"/>
      <c r="AM23" s="887"/>
      <c r="AN23" s="887"/>
      <c r="AO23" s="796"/>
    </row>
    <row r="24" spans="1:41" hidden="1">
      <c r="A24" s="883"/>
      <c r="B24" s="874" t="b">
        <v>0</v>
      </c>
      <c r="C24" s="874" t="s">
        <v>1408</v>
      </c>
      <c r="D24" s="874"/>
      <c r="E24" s="874"/>
      <c r="F24" s="874"/>
      <c r="G24" s="874"/>
      <c r="H24" s="874"/>
      <c r="I24" s="874"/>
      <c r="J24" s="874"/>
      <c r="K24" s="874"/>
      <c r="L24" s="258" t="s">
        <v>150</v>
      </c>
      <c r="M24" s="259" t="s">
        <v>425</v>
      </c>
      <c r="N24" s="255" t="s">
        <v>352</v>
      </c>
      <c r="O24" s="886">
        <v>0</v>
      </c>
      <c r="P24" s="886">
        <v>0</v>
      </c>
      <c r="Q24" s="886">
        <v>0</v>
      </c>
      <c r="R24" s="886">
        <v>0</v>
      </c>
      <c r="S24" s="886">
        <v>0</v>
      </c>
      <c r="T24" s="886">
        <v>0</v>
      </c>
      <c r="U24" s="886">
        <v>0</v>
      </c>
      <c r="V24" s="886">
        <v>0</v>
      </c>
      <c r="W24" s="886">
        <v>0</v>
      </c>
      <c r="X24" s="886">
        <v>0</v>
      </c>
      <c r="Y24" s="886">
        <v>0</v>
      </c>
      <c r="Z24" s="886">
        <v>0</v>
      </c>
      <c r="AA24" s="886">
        <v>0</v>
      </c>
      <c r="AB24" s="886">
        <v>0</v>
      </c>
      <c r="AC24" s="886">
        <v>0</v>
      </c>
      <c r="AD24" s="886">
        <v>0</v>
      </c>
      <c r="AE24" s="886">
        <v>0</v>
      </c>
      <c r="AF24" s="886">
        <v>0</v>
      </c>
      <c r="AG24" s="886">
        <v>0</v>
      </c>
      <c r="AH24" s="886">
        <v>0</v>
      </c>
      <c r="AI24" s="886">
        <v>0</v>
      </c>
      <c r="AJ24" s="886">
        <v>0</v>
      </c>
      <c r="AK24" s="886">
        <v>0</v>
      </c>
      <c r="AL24" s="886">
        <v>0</v>
      </c>
      <c r="AM24" s="886">
        <v>0</v>
      </c>
      <c r="AN24" s="886">
        <v>0</v>
      </c>
      <c r="AO24" s="796"/>
    </row>
    <row r="25" spans="1:41" hidden="1">
      <c r="A25" s="883"/>
      <c r="B25" s="874" t="b">
        <v>0</v>
      </c>
      <c r="C25" s="874" t="s">
        <v>1409</v>
      </c>
      <c r="D25" s="874"/>
      <c r="E25" s="874"/>
      <c r="F25" s="874"/>
      <c r="G25" s="874"/>
      <c r="H25" s="874"/>
      <c r="I25" s="874"/>
      <c r="J25" s="874"/>
      <c r="K25" s="874"/>
      <c r="L25" s="258" t="s">
        <v>515</v>
      </c>
      <c r="M25" s="260" t="s">
        <v>426</v>
      </c>
      <c r="N25" s="255" t="s">
        <v>352</v>
      </c>
      <c r="O25" s="887"/>
      <c r="P25" s="887"/>
      <c r="Q25" s="887"/>
      <c r="R25" s="887"/>
      <c r="S25" s="887"/>
      <c r="T25" s="887"/>
      <c r="U25" s="887"/>
      <c r="V25" s="887"/>
      <c r="W25" s="887"/>
      <c r="X25" s="887"/>
      <c r="Y25" s="887"/>
      <c r="Z25" s="887"/>
      <c r="AA25" s="887"/>
      <c r="AB25" s="887"/>
      <c r="AC25" s="887"/>
      <c r="AD25" s="887"/>
      <c r="AE25" s="887"/>
      <c r="AF25" s="887"/>
      <c r="AG25" s="887"/>
      <c r="AH25" s="887"/>
      <c r="AI25" s="887"/>
      <c r="AJ25" s="887"/>
      <c r="AK25" s="887"/>
      <c r="AL25" s="887"/>
      <c r="AM25" s="887"/>
      <c r="AN25" s="887"/>
      <c r="AO25" s="796"/>
    </row>
    <row r="26" spans="1:41" hidden="1">
      <c r="A26" s="883"/>
      <c r="B26" s="874" t="b">
        <v>0</v>
      </c>
      <c r="C26" s="874" t="s">
        <v>1410</v>
      </c>
      <c r="D26" s="874"/>
      <c r="E26" s="874"/>
      <c r="F26" s="874"/>
      <c r="G26" s="874"/>
      <c r="H26" s="874"/>
      <c r="I26" s="874"/>
      <c r="J26" s="874"/>
      <c r="K26" s="874"/>
      <c r="L26" s="258" t="s">
        <v>521</v>
      </c>
      <c r="M26" s="260" t="s">
        <v>427</v>
      </c>
      <c r="N26" s="255" t="s">
        <v>352</v>
      </c>
      <c r="O26" s="887"/>
      <c r="P26" s="887"/>
      <c r="Q26" s="887"/>
      <c r="R26" s="887"/>
      <c r="S26" s="887"/>
      <c r="T26" s="887"/>
      <c r="U26" s="887"/>
      <c r="V26" s="887"/>
      <c r="W26" s="887"/>
      <c r="X26" s="887"/>
      <c r="Y26" s="887"/>
      <c r="Z26" s="887"/>
      <c r="AA26" s="887"/>
      <c r="AB26" s="887"/>
      <c r="AC26" s="887"/>
      <c r="AD26" s="887"/>
      <c r="AE26" s="887"/>
      <c r="AF26" s="887"/>
      <c r="AG26" s="887"/>
      <c r="AH26" s="887"/>
      <c r="AI26" s="887"/>
      <c r="AJ26" s="887"/>
      <c r="AK26" s="887"/>
      <c r="AL26" s="887"/>
      <c r="AM26" s="887"/>
      <c r="AN26" s="887"/>
      <c r="AO26" s="796"/>
    </row>
    <row r="27" spans="1:41" hidden="1">
      <c r="A27" s="883"/>
      <c r="B27" s="874" t="b">
        <v>0</v>
      </c>
      <c r="C27" s="874" t="s">
        <v>1422</v>
      </c>
      <c r="D27" s="874"/>
      <c r="E27" s="874"/>
      <c r="F27" s="874"/>
      <c r="G27" s="874"/>
      <c r="H27" s="874"/>
      <c r="I27" s="874"/>
      <c r="J27" s="874"/>
      <c r="K27" s="874"/>
      <c r="L27" s="258" t="s">
        <v>523</v>
      </c>
      <c r="M27" s="260" t="s">
        <v>428</v>
      </c>
      <c r="N27" s="255" t="s">
        <v>352</v>
      </c>
      <c r="O27" s="887"/>
      <c r="P27" s="887"/>
      <c r="Q27" s="887"/>
      <c r="R27" s="887"/>
      <c r="S27" s="887"/>
      <c r="T27" s="887"/>
      <c r="U27" s="887"/>
      <c r="V27" s="887"/>
      <c r="W27" s="887"/>
      <c r="X27" s="887"/>
      <c r="Y27" s="887"/>
      <c r="Z27" s="887"/>
      <c r="AA27" s="887"/>
      <c r="AB27" s="887"/>
      <c r="AC27" s="887"/>
      <c r="AD27" s="887"/>
      <c r="AE27" s="887"/>
      <c r="AF27" s="887"/>
      <c r="AG27" s="887"/>
      <c r="AH27" s="887"/>
      <c r="AI27" s="887"/>
      <c r="AJ27" s="887"/>
      <c r="AK27" s="887"/>
      <c r="AL27" s="887"/>
      <c r="AM27" s="887"/>
      <c r="AN27" s="887"/>
      <c r="AO27" s="796"/>
    </row>
    <row r="28" spans="1:41" hidden="1">
      <c r="A28" s="883"/>
      <c r="B28" s="874" t="b">
        <v>0</v>
      </c>
      <c r="C28" s="874" t="s">
        <v>1519</v>
      </c>
      <c r="D28" s="874"/>
      <c r="E28" s="874"/>
      <c r="F28" s="874"/>
      <c r="G28" s="874"/>
      <c r="H28" s="874"/>
      <c r="I28" s="874"/>
      <c r="J28" s="874"/>
      <c r="K28" s="874"/>
      <c r="L28" s="258" t="s">
        <v>360</v>
      </c>
      <c r="M28" s="259" t="s">
        <v>429</v>
      </c>
      <c r="N28" s="255" t="s">
        <v>352</v>
      </c>
      <c r="O28" s="886">
        <v>0</v>
      </c>
      <c r="P28" s="886">
        <v>0</v>
      </c>
      <c r="Q28" s="886">
        <v>0</v>
      </c>
      <c r="R28" s="886">
        <v>0</v>
      </c>
      <c r="S28" s="886">
        <v>0</v>
      </c>
      <c r="T28" s="886">
        <v>0</v>
      </c>
      <c r="U28" s="886">
        <v>0</v>
      </c>
      <c r="V28" s="886">
        <v>0</v>
      </c>
      <c r="W28" s="886">
        <v>0</v>
      </c>
      <c r="X28" s="886">
        <v>0</v>
      </c>
      <c r="Y28" s="886">
        <v>0</v>
      </c>
      <c r="Z28" s="886">
        <v>0</v>
      </c>
      <c r="AA28" s="886">
        <v>0</v>
      </c>
      <c r="AB28" s="886">
        <v>0</v>
      </c>
      <c r="AC28" s="886">
        <v>0</v>
      </c>
      <c r="AD28" s="886">
        <v>0</v>
      </c>
      <c r="AE28" s="886">
        <v>0</v>
      </c>
      <c r="AF28" s="886">
        <v>0</v>
      </c>
      <c r="AG28" s="886">
        <v>0</v>
      </c>
      <c r="AH28" s="886">
        <v>0</v>
      </c>
      <c r="AI28" s="886">
        <v>0</v>
      </c>
      <c r="AJ28" s="886">
        <v>0</v>
      </c>
      <c r="AK28" s="886">
        <v>0</v>
      </c>
      <c r="AL28" s="886">
        <v>0</v>
      </c>
      <c r="AM28" s="886">
        <v>0</v>
      </c>
      <c r="AN28" s="886">
        <v>0</v>
      </c>
      <c r="AO28" s="796"/>
    </row>
    <row r="29" spans="1:41" hidden="1">
      <c r="A29" s="883"/>
      <c r="B29" s="874" t="b">
        <v>0</v>
      </c>
      <c r="C29" s="874" t="s">
        <v>1520</v>
      </c>
      <c r="D29" s="874"/>
      <c r="E29" s="874"/>
      <c r="F29" s="874"/>
      <c r="G29" s="874"/>
      <c r="H29" s="874"/>
      <c r="I29" s="874"/>
      <c r="J29" s="874"/>
      <c r="K29" s="874"/>
      <c r="L29" s="258" t="s">
        <v>544</v>
      </c>
      <c r="M29" s="260" t="s">
        <v>430</v>
      </c>
      <c r="N29" s="255" t="s">
        <v>352</v>
      </c>
      <c r="O29" s="887"/>
      <c r="P29" s="887"/>
      <c r="Q29" s="887"/>
      <c r="R29" s="887"/>
      <c r="S29" s="887"/>
      <c r="T29" s="887"/>
      <c r="U29" s="887"/>
      <c r="V29" s="887"/>
      <c r="W29" s="887"/>
      <c r="X29" s="887"/>
      <c r="Y29" s="887"/>
      <c r="Z29" s="887"/>
      <c r="AA29" s="887"/>
      <c r="AB29" s="887"/>
      <c r="AC29" s="887"/>
      <c r="AD29" s="887"/>
      <c r="AE29" s="887"/>
      <c r="AF29" s="887"/>
      <c r="AG29" s="887"/>
      <c r="AH29" s="887"/>
      <c r="AI29" s="887"/>
      <c r="AJ29" s="887"/>
      <c r="AK29" s="887"/>
      <c r="AL29" s="887"/>
      <c r="AM29" s="887"/>
      <c r="AN29" s="887"/>
      <c r="AO29" s="796"/>
    </row>
    <row r="30" spans="1:41" hidden="1">
      <c r="A30" s="883"/>
      <c r="B30" s="874" t="b">
        <v>0</v>
      </c>
      <c r="C30" s="874" t="s">
        <v>1521</v>
      </c>
      <c r="D30" s="874"/>
      <c r="E30" s="874"/>
      <c r="F30" s="874"/>
      <c r="G30" s="874"/>
      <c r="H30" s="874"/>
      <c r="I30" s="874"/>
      <c r="J30" s="874"/>
      <c r="K30" s="874"/>
      <c r="L30" s="258" t="s">
        <v>546</v>
      </c>
      <c r="M30" s="260" t="s">
        <v>431</v>
      </c>
      <c r="N30" s="255" t="s">
        <v>352</v>
      </c>
      <c r="O30" s="887"/>
      <c r="P30" s="887"/>
      <c r="Q30" s="887"/>
      <c r="R30" s="887"/>
      <c r="S30" s="887"/>
      <c r="T30" s="887"/>
      <c r="U30" s="887"/>
      <c r="V30" s="887"/>
      <c r="W30" s="887"/>
      <c r="X30" s="887"/>
      <c r="Y30" s="887"/>
      <c r="Z30" s="887"/>
      <c r="AA30" s="887"/>
      <c r="AB30" s="887"/>
      <c r="AC30" s="887"/>
      <c r="AD30" s="887"/>
      <c r="AE30" s="887"/>
      <c r="AF30" s="887"/>
      <c r="AG30" s="887"/>
      <c r="AH30" s="887"/>
      <c r="AI30" s="887"/>
      <c r="AJ30" s="887"/>
      <c r="AK30" s="887"/>
      <c r="AL30" s="887"/>
      <c r="AM30" s="887"/>
      <c r="AN30" s="887"/>
      <c r="AO30" s="796"/>
    </row>
    <row r="31" spans="1:41" hidden="1">
      <c r="A31" s="883"/>
      <c r="B31" s="874" t="b">
        <v>0</v>
      </c>
      <c r="C31" s="874" t="s">
        <v>1522</v>
      </c>
      <c r="D31" s="874"/>
      <c r="E31" s="874"/>
      <c r="F31" s="874"/>
      <c r="G31" s="874"/>
      <c r="H31" s="874"/>
      <c r="I31" s="874"/>
      <c r="J31" s="874"/>
      <c r="K31" s="874"/>
      <c r="L31" s="258" t="s">
        <v>548</v>
      </c>
      <c r="M31" s="260" t="s">
        <v>432</v>
      </c>
      <c r="N31" s="255" t="s">
        <v>352</v>
      </c>
      <c r="O31" s="887"/>
      <c r="P31" s="887"/>
      <c r="Q31" s="887"/>
      <c r="R31" s="887"/>
      <c r="S31" s="887"/>
      <c r="T31" s="887"/>
      <c r="U31" s="887"/>
      <c r="V31" s="887"/>
      <c r="W31" s="887"/>
      <c r="X31" s="887"/>
      <c r="Y31" s="887"/>
      <c r="Z31" s="887"/>
      <c r="AA31" s="887"/>
      <c r="AB31" s="887"/>
      <c r="AC31" s="887"/>
      <c r="AD31" s="887"/>
      <c r="AE31" s="887"/>
      <c r="AF31" s="887"/>
      <c r="AG31" s="887"/>
      <c r="AH31" s="887"/>
      <c r="AI31" s="887"/>
      <c r="AJ31" s="887"/>
      <c r="AK31" s="887"/>
      <c r="AL31" s="887"/>
      <c r="AM31" s="887"/>
      <c r="AN31" s="887"/>
      <c r="AO31" s="796"/>
    </row>
    <row r="32" spans="1:41" hidden="1">
      <c r="A32" s="883"/>
      <c r="B32" s="874" t="b">
        <v>0</v>
      </c>
      <c r="C32" s="874" t="s">
        <v>1527</v>
      </c>
      <c r="D32" s="874"/>
      <c r="E32" s="874"/>
      <c r="F32" s="874"/>
      <c r="G32" s="874"/>
      <c r="H32" s="874"/>
      <c r="I32" s="874"/>
      <c r="J32" s="874"/>
      <c r="K32" s="874"/>
      <c r="L32" s="258" t="s">
        <v>362</v>
      </c>
      <c r="M32" s="259" t="s">
        <v>433</v>
      </c>
      <c r="N32" s="255" t="s">
        <v>352</v>
      </c>
      <c r="O32" s="886">
        <v>0</v>
      </c>
      <c r="P32" s="886">
        <v>0</v>
      </c>
      <c r="Q32" s="886">
        <v>0</v>
      </c>
      <c r="R32" s="886">
        <v>0</v>
      </c>
      <c r="S32" s="886">
        <v>0</v>
      </c>
      <c r="T32" s="886">
        <v>0</v>
      </c>
      <c r="U32" s="886">
        <v>0</v>
      </c>
      <c r="V32" s="886">
        <v>0</v>
      </c>
      <c r="W32" s="886">
        <v>0</v>
      </c>
      <c r="X32" s="886">
        <v>0</v>
      </c>
      <c r="Y32" s="886">
        <v>0</v>
      </c>
      <c r="Z32" s="886">
        <v>0</v>
      </c>
      <c r="AA32" s="886">
        <v>0</v>
      </c>
      <c r="AB32" s="886">
        <v>0</v>
      </c>
      <c r="AC32" s="886">
        <v>0</v>
      </c>
      <c r="AD32" s="886">
        <v>0</v>
      </c>
      <c r="AE32" s="886">
        <v>0</v>
      </c>
      <c r="AF32" s="886">
        <v>0</v>
      </c>
      <c r="AG32" s="886">
        <v>0</v>
      </c>
      <c r="AH32" s="886">
        <v>0</v>
      </c>
      <c r="AI32" s="886">
        <v>0</v>
      </c>
      <c r="AJ32" s="886">
        <v>0</v>
      </c>
      <c r="AK32" s="886">
        <v>0</v>
      </c>
      <c r="AL32" s="886">
        <v>0</v>
      </c>
      <c r="AM32" s="886">
        <v>0</v>
      </c>
      <c r="AN32" s="886">
        <v>0</v>
      </c>
      <c r="AO32" s="796"/>
    </row>
    <row r="33" spans="1:41" hidden="1">
      <c r="A33" s="883"/>
      <c r="B33" s="874" t="b">
        <v>0</v>
      </c>
      <c r="C33" s="874" t="s">
        <v>1529</v>
      </c>
      <c r="D33" s="874"/>
      <c r="E33" s="874"/>
      <c r="F33" s="874"/>
      <c r="G33" s="874"/>
      <c r="H33" s="874"/>
      <c r="I33" s="874"/>
      <c r="J33" s="874"/>
      <c r="K33" s="874"/>
      <c r="L33" s="258" t="s">
        <v>551</v>
      </c>
      <c r="M33" s="260" t="s">
        <v>434</v>
      </c>
      <c r="N33" s="255" t="s">
        <v>352</v>
      </c>
      <c r="O33" s="887"/>
      <c r="P33" s="887"/>
      <c r="Q33" s="887"/>
      <c r="R33" s="887"/>
      <c r="S33" s="887"/>
      <c r="T33" s="887"/>
      <c r="U33" s="887"/>
      <c r="V33" s="887"/>
      <c r="W33" s="887"/>
      <c r="X33" s="887"/>
      <c r="Y33" s="887"/>
      <c r="Z33" s="887"/>
      <c r="AA33" s="887"/>
      <c r="AB33" s="887"/>
      <c r="AC33" s="887"/>
      <c r="AD33" s="887"/>
      <c r="AE33" s="887"/>
      <c r="AF33" s="887"/>
      <c r="AG33" s="887"/>
      <c r="AH33" s="887"/>
      <c r="AI33" s="887"/>
      <c r="AJ33" s="887"/>
      <c r="AK33" s="887"/>
      <c r="AL33" s="887"/>
      <c r="AM33" s="887"/>
      <c r="AN33" s="887"/>
      <c r="AO33" s="796"/>
    </row>
    <row r="34" spans="1:41" ht="22.8" hidden="1">
      <c r="A34" s="883"/>
      <c r="B34" s="874" t="b">
        <v>0</v>
      </c>
      <c r="C34" s="874" t="s">
        <v>1544</v>
      </c>
      <c r="D34" s="874"/>
      <c r="E34" s="874"/>
      <c r="F34" s="874"/>
      <c r="G34" s="874"/>
      <c r="H34" s="874"/>
      <c r="I34" s="874"/>
      <c r="J34" s="874"/>
      <c r="K34" s="874"/>
      <c r="L34" s="258" t="s">
        <v>565</v>
      </c>
      <c r="M34" s="260" t="s">
        <v>1150</v>
      </c>
      <c r="N34" s="255" t="s">
        <v>352</v>
      </c>
      <c r="O34" s="887"/>
      <c r="P34" s="887"/>
      <c r="Q34" s="887"/>
      <c r="R34" s="887"/>
      <c r="S34" s="887"/>
      <c r="T34" s="887"/>
      <c r="U34" s="887"/>
      <c r="V34" s="887"/>
      <c r="W34" s="887"/>
      <c r="X34" s="887"/>
      <c r="Y34" s="887"/>
      <c r="Z34" s="887"/>
      <c r="AA34" s="887"/>
      <c r="AB34" s="887"/>
      <c r="AC34" s="887"/>
      <c r="AD34" s="887"/>
      <c r="AE34" s="887"/>
      <c r="AF34" s="887"/>
      <c r="AG34" s="887"/>
      <c r="AH34" s="887"/>
      <c r="AI34" s="887"/>
      <c r="AJ34" s="887"/>
      <c r="AK34" s="887"/>
      <c r="AL34" s="887"/>
      <c r="AM34" s="887"/>
      <c r="AN34" s="887"/>
      <c r="AO34" s="796"/>
    </row>
    <row r="35" spans="1:41" ht="22.8" hidden="1">
      <c r="A35" s="883"/>
      <c r="B35" s="874" t="b">
        <v>0</v>
      </c>
      <c r="C35" s="874" t="s">
        <v>1550</v>
      </c>
      <c r="D35" s="874"/>
      <c r="E35" s="874"/>
      <c r="F35" s="874"/>
      <c r="G35" s="874"/>
      <c r="H35" s="874"/>
      <c r="I35" s="874"/>
      <c r="J35" s="874"/>
      <c r="K35" s="874"/>
      <c r="L35" s="258" t="s">
        <v>569</v>
      </c>
      <c r="M35" s="260" t="s">
        <v>435</v>
      </c>
      <c r="N35" s="255" t="s">
        <v>352</v>
      </c>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796"/>
    </row>
    <row r="36" spans="1:41" hidden="1">
      <c r="A36" s="883"/>
      <c r="B36" s="874" t="b">
        <v>0</v>
      </c>
      <c r="C36" s="874" t="s">
        <v>1552</v>
      </c>
      <c r="D36" s="874"/>
      <c r="E36" s="874"/>
      <c r="F36" s="874"/>
      <c r="G36" s="874"/>
      <c r="H36" s="874"/>
      <c r="I36" s="874"/>
      <c r="J36" s="874"/>
      <c r="K36" s="874"/>
      <c r="L36" s="258" t="s">
        <v>571</v>
      </c>
      <c r="M36" s="260" t="s">
        <v>436</v>
      </c>
      <c r="N36" s="255" t="s">
        <v>352</v>
      </c>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796"/>
    </row>
    <row r="37" spans="1:41" s="263" customFormat="1" ht="22.8" hidden="1">
      <c r="A37" s="883"/>
      <c r="B37" s="874" t="b">
        <v>0</v>
      </c>
      <c r="C37" s="874" t="s">
        <v>1438</v>
      </c>
      <c r="D37" s="884"/>
      <c r="E37" s="884"/>
      <c r="F37" s="884"/>
      <c r="G37" s="884"/>
      <c r="H37" s="884"/>
      <c r="I37" s="884"/>
      <c r="J37" s="884"/>
      <c r="K37" s="884"/>
      <c r="L37" s="261" t="s">
        <v>102</v>
      </c>
      <c r="M37" s="257" t="s">
        <v>437</v>
      </c>
      <c r="N37" s="262" t="s">
        <v>352</v>
      </c>
      <c r="O37" s="885">
        <v>0</v>
      </c>
      <c r="P37" s="885">
        <v>0</v>
      </c>
      <c r="Q37" s="885">
        <v>0</v>
      </c>
      <c r="R37" s="885">
        <v>0</v>
      </c>
      <c r="S37" s="885">
        <v>0</v>
      </c>
      <c r="T37" s="885">
        <v>0</v>
      </c>
      <c r="U37" s="885">
        <v>0</v>
      </c>
      <c r="V37" s="885">
        <v>0</v>
      </c>
      <c r="W37" s="885">
        <v>0</v>
      </c>
      <c r="X37" s="885">
        <v>0</v>
      </c>
      <c r="Y37" s="885">
        <v>0</v>
      </c>
      <c r="Z37" s="885">
        <v>0</v>
      </c>
      <c r="AA37" s="885">
        <v>0</v>
      </c>
      <c r="AB37" s="885">
        <v>0</v>
      </c>
      <c r="AC37" s="885">
        <v>0</v>
      </c>
      <c r="AD37" s="885">
        <v>0</v>
      </c>
      <c r="AE37" s="885">
        <v>0</v>
      </c>
      <c r="AF37" s="885">
        <v>0</v>
      </c>
      <c r="AG37" s="885">
        <v>0</v>
      </c>
      <c r="AH37" s="885">
        <v>0</v>
      </c>
      <c r="AI37" s="885">
        <v>0</v>
      </c>
      <c r="AJ37" s="885">
        <v>0</v>
      </c>
      <c r="AK37" s="885">
        <v>0</v>
      </c>
      <c r="AL37" s="885">
        <v>0</v>
      </c>
      <c r="AM37" s="885">
        <v>0</v>
      </c>
      <c r="AN37" s="885">
        <v>0</v>
      </c>
      <c r="AO37" s="796"/>
    </row>
    <row r="38" spans="1:41" hidden="1">
      <c r="A38" s="883"/>
      <c r="B38" s="874" t="b">
        <v>0</v>
      </c>
      <c r="C38" s="874" t="s">
        <v>1439</v>
      </c>
      <c r="D38" s="874"/>
      <c r="E38" s="874"/>
      <c r="F38" s="874"/>
      <c r="G38" s="874"/>
      <c r="H38" s="874"/>
      <c r="I38" s="874"/>
      <c r="J38" s="874"/>
      <c r="K38" s="874"/>
      <c r="L38" s="258" t="s">
        <v>17</v>
      </c>
      <c r="M38" s="259" t="s">
        <v>1161</v>
      </c>
      <c r="N38" s="255" t="s">
        <v>352</v>
      </c>
      <c r="O38" s="887"/>
      <c r="P38" s="887"/>
      <c r="Q38" s="887"/>
      <c r="R38" s="887"/>
      <c r="S38" s="887"/>
      <c r="T38" s="887"/>
      <c r="U38" s="887"/>
      <c r="V38" s="887"/>
      <c r="W38" s="887"/>
      <c r="X38" s="887"/>
      <c r="Y38" s="887"/>
      <c r="Z38" s="887"/>
      <c r="AA38" s="887"/>
      <c r="AB38" s="887"/>
      <c r="AC38" s="887"/>
      <c r="AD38" s="887"/>
      <c r="AE38" s="887"/>
      <c r="AF38" s="887"/>
      <c r="AG38" s="887"/>
      <c r="AH38" s="887"/>
      <c r="AI38" s="887"/>
      <c r="AJ38" s="887"/>
      <c r="AK38" s="887"/>
      <c r="AL38" s="887"/>
      <c r="AM38" s="887"/>
      <c r="AN38" s="887"/>
      <c r="AO38" s="796"/>
    </row>
    <row r="39" spans="1:41" hidden="1">
      <c r="A39" s="883"/>
      <c r="B39" s="874" t="b">
        <v>0</v>
      </c>
      <c r="C39" s="874" t="s">
        <v>1576</v>
      </c>
      <c r="D39" s="874"/>
      <c r="E39" s="874"/>
      <c r="F39" s="874"/>
      <c r="G39" s="874"/>
      <c r="H39" s="874"/>
      <c r="I39" s="874"/>
      <c r="J39" s="874"/>
      <c r="K39" s="874"/>
      <c r="L39" s="258" t="s">
        <v>138</v>
      </c>
      <c r="M39" s="259" t="s">
        <v>1162</v>
      </c>
      <c r="N39" s="255" t="s">
        <v>352</v>
      </c>
      <c r="O39" s="887"/>
      <c r="P39" s="887"/>
      <c r="Q39" s="887"/>
      <c r="R39" s="887"/>
      <c r="S39" s="887"/>
      <c r="T39" s="887"/>
      <c r="U39" s="887"/>
      <c r="V39" s="887"/>
      <c r="W39" s="887"/>
      <c r="X39" s="887"/>
      <c r="Y39" s="887"/>
      <c r="Z39" s="887"/>
      <c r="AA39" s="887"/>
      <c r="AB39" s="887"/>
      <c r="AC39" s="887"/>
      <c r="AD39" s="887"/>
      <c r="AE39" s="887"/>
      <c r="AF39" s="887"/>
      <c r="AG39" s="887"/>
      <c r="AH39" s="887"/>
      <c r="AI39" s="887"/>
      <c r="AJ39" s="887"/>
      <c r="AK39" s="887"/>
      <c r="AL39" s="887"/>
      <c r="AM39" s="887"/>
      <c r="AN39" s="887"/>
      <c r="AO39" s="796"/>
    </row>
    <row r="40" spans="1:41" hidden="1">
      <c r="A40" s="883"/>
      <c r="B40" s="874" t="b">
        <v>0</v>
      </c>
      <c r="C40" s="874" t="s">
        <v>1577</v>
      </c>
      <c r="D40" s="874"/>
      <c r="E40" s="874"/>
      <c r="F40" s="874"/>
      <c r="G40" s="874"/>
      <c r="H40" s="874"/>
      <c r="I40" s="874"/>
      <c r="J40" s="874"/>
      <c r="K40" s="874"/>
      <c r="L40" s="258" t="s">
        <v>151</v>
      </c>
      <c r="M40" s="259" t="s">
        <v>438</v>
      </c>
      <c r="N40" s="255" t="s">
        <v>352</v>
      </c>
      <c r="O40" s="887"/>
      <c r="P40" s="887"/>
      <c r="Q40" s="887"/>
      <c r="R40" s="887"/>
      <c r="S40" s="887"/>
      <c r="T40" s="887"/>
      <c r="U40" s="887"/>
      <c r="V40" s="887"/>
      <c r="W40" s="887"/>
      <c r="X40" s="887"/>
      <c r="Y40" s="887"/>
      <c r="Z40" s="887"/>
      <c r="AA40" s="887"/>
      <c r="AB40" s="887"/>
      <c r="AC40" s="887"/>
      <c r="AD40" s="887"/>
      <c r="AE40" s="887"/>
      <c r="AF40" s="887"/>
      <c r="AG40" s="887"/>
      <c r="AH40" s="887"/>
      <c r="AI40" s="887"/>
      <c r="AJ40" s="887"/>
      <c r="AK40" s="887"/>
      <c r="AL40" s="887"/>
      <c r="AM40" s="887"/>
      <c r="AN40" s="887"/>
      <c r="AO40" s="796"/>
    </row>
    <row r="41" spans="1:41" s="80" customFormat="1">
      <c r="A41" s="788" t="s">
        <v>18</v>
      </c>
      <c r="B41" s="874" t="b">
        <v>1</v>
      </c>
      <c r="C41" s="774"/>
      <c r="D41" s="774"/>
      <c r="E41" s="774"/>
      <c r="F41" s="774"/>
      <c r="G41" s="774"/>
      <c r="H41" s="774"/>
      <c r="I41" s="774"/>
      <c r="J41" s="774"/>
      <c r="K41" s="774"/>
      <c r="L41" s="888" t="s">
        <v>3005</v>
      </c>
      <c r="M41" s="889"/>
      <c r="N41" s="889"/>
      <c r="O41" s="889"/>
      <c r="P41" s="889"/>
      <c r="Q41" s="889"/>
      <c r="R41" s="889"/>
      <c r="S41" s="889"/>
      <c r="T41" s="889"/>
      <c r="U41" s="889"/>
      <c r="V41" s="889"/>
      <c r="W41" s="889"/>
      <c r="X41" s="889"/>
      <c r="Y41" s="889"/>
      <c r="Z41" s="889"/>
      <c r="AA41" s="889"/>
      <c r="AB41" s="889"/>
      <c r="AC41" s="889"/>
      <c r="AD41" s="889"/>
      <c r="AE41" s="889"/>
      <c r="AF41" s="889"/>
      <c r="AG41" s="889"/>
      <c r="AH41" s="889"/>
      <c r="AI41" s="889"/>
      <c r="AJ41" s="889"/>
      <c r="AK41" s="889"/>
      <c r="AL41" s="889"/>
      <c r="AM41" s="889"/>
      <c r="AN41" s="889"/>
      <c r="AO41" s="889"/>
    </row>
    <row r="42" spans="1:41" s="263" customFormat="1" ht="22.8">
      <c r="A42" s="809">
        <v>1</v>
      </c>
      <c r="B42" s="874" t="b">
        <v>1</v>
      </c>
      <c r="C42" s="874" t="s">
        <v>1406</v>
      </c>
      <c r="D42" s="884"/>
      <c r="E42" s="884"/>
      <c r="F42" s="884"/>
      <c r="G42" s="884"/>
      <c r="H42" s="884"/>
      <c r="I42" s="884"/>
      <c r="J42" s="884"/>
      <c r="K42" s="884"/>
      <c r="L42" s="261">
        <v>1</v>
      </c>
      <c r="M42" s="256" t="s">
        <v>420</v>
      </c>
      <c r="N42" s="262" t="s">
        <v>352</v>
      </c>
      <c r="O42" s="885">
        <v>0</v>
      </c>
      <c r="P42" s="885">
        <v>0</v>
      </c>
      <c r="Q42" s="885">
        <v>0</v>
      </c>
      <c r="R42" s="885">
        <v>0</v>
      </c>
      <c r="S42" s="885">
        <v>0</v>
      </c>
      <c r="T42" s="885">
        <v>0</v>
      </c>
      <c r="U42" s="885">
        <v>0</v>
      </c>
      <c r="V42" s="885">
        <v>0</v>
      </c>
      <c r="W42" s="885">
        <v>0</v>
      </c>
      <c r="X42" s="885">
        <v>0</v>
      </c>
      <c r="Y42" s="885">
        <v>0</v>
      </c>
      <c r="Z42" s="885">
        <v>0</v>
      </c>
      <c r="AA42" s="885">
        <v>0</v>
      </c>
      <c r="AB42" s="885">
        <v>0</v>
      </c>
      <c r="AC42" s="885">
        <v>0</v>
      </c>
      <c r="AD42" s="885">
        <v>0</v>
      </c>
      <c r="AE42" s="885">
        <v>0</v>
      </c>
      <c r="AF42" s="885">
        <v>0</v>
      </c>
      <c r="AG42" s="885">
        <v>0</v>
      </c>
      <c r="AH42" s="885">
        <v>0</v>
      </c>
      <c r="AI42" s="885">
        <v>0</v>
      </c>
      <c r="AJ42" s="885">
        <v>0</v>
      </c>
      <c r="AK42" s="885">
        <v>0</v>
      </c>
      <c r="AL42" s="885">
        <v>0</v>
      </c>
      <c r="AM42" s="885">
        <v>0</v>
      </c>
      <c r="AN42" s="885">
        <v>0</v>
      </c>
      <c r="AO42" s="796"/>
    </row>
    <row r="43" spans="1:41">
      <c r="A43" s="809">
        <v>1</v>
      </c>
      <c r="B43" s="874" t="b">
        <v>1</v>
      </c>
      <c r="C43" s="874" t="s">
        <v>1407</v>
      </c>
      <c r="D43" s="874"/>
      <c r="E43" s="874"/>
      <c r="F43" s="874"/>
      <c r="G43" s="874"/>
      <c r="H43" s="874"/>
      <c r="I43" s="874"/>
      <c r="J43" s="874"/>
      <c r="K43" s="874"/>
      <c r="L43" s="258" t="s">
        <v>149</v>
      </c>
      <c r="M43" s="259" t="s">
        <v>421</v>
      </c>
      <c r="N43" s="255" t="s">
        <v>352</v>
      </c>
      <c r="O43" s="886">
        <v>0</v>
      </c>
      <c r="P43" s="886">
        <v>0</v>
      </c>
      <c r="Q43" s="886">
        <v>0</v>
      </c>
      <c r="R43" s="886">
        <v>0</v>
      </c>
      <c r="S43" s="886">
        <v>0</v>
      </c>
      <c r="T43" s="886">
        <v>0</v>
      </c>
      <c r="U43" s="886">
        <v>0</v>
      </c>
      <c r="V43" s="886">
        <v>0</v>
      </c>
      <c r="W43" s="886">
        <v>0</v>
      </c>
      <c r="X43" s="886">
        <v>0</v>
      </c>
      <c r="Y43" s="886">
        <v>0</v>
      </c>
      <c r="Z43" s="886">
        <v>0</v>
      </c>
      <c r="AA43" s="886">
        <v>0</v>
      </c>
      <c r="AB43" s="886">
        <v>0</v>
      </c>
      <c r="AC43" s="886">
        <v>0</v>
      </c>
      <c r="AD43" s="886">
        <v>0</v>
      </c>
      <c r="AE43" s="886">
        <v>0</v>
      </c>
      <c r="AF43" s="886">
        <v>0</v>
      </c>
      <c r="AG43" s="886">
        <v>0</v>
      </c>
      <c r="AH43" s="886">
        <v>0</v>
      </c>
      <c r="AI43" s="886">
        <v>0</v>
      </c>
      <c r="AJ43" s="886">
        <v>0</v>
      </c>
      <c r="AK43" s="886">
        <v>0</v>
      </c>
      <c r="AL43" s="886">
        <v>0</v>
      </c>
      <c r="AM43" s="886">
        <v>0</v>
      </c>
      <c r="AN43" s="886">
        <v>0</v>
      </c>
      <c r="AO43" s="796"/>
    </row>
    <row r="44" spans="1:41">
      <c r="A44" s="809">
        <v>1</v>
      </c>
      <c r="B44" s="874" t="b">
        <v>1</v>
      </c>
      <c r="C44" s="874" t="s">
        <v>1658</v>
      </c>
      <c r="D44" s="874"/>
      <c r="E44" s="874"/>
      <c r="F44" s="874"/>
      <c r="G44" s="874"/>
      <c r="H44" s="874"/>
      <c r="I44" s="874"/>
      <c r="J44" s="874"/>
      <c r="K44" s="874"/>
      <c r="L44" s="258" t="s">
        <v>394</v>
      </c>
      <c r="M44" s="260" t="s">
        <v>422</v>
      </c>
      <c r="N44" s="255" t="s">
        <v>352</v>
      </c>
      <c r="O44" s="887"/>
      <c r="P44" s="887"/>
      <c r="Q44" s="887"/>
      <c r="R44" s="887"/>
      <c r="S44" s="887"/>
      <c r="T44" s="887"/>
      <c r="U44" s="887"/>
      <c r="V44" s="887"/>
      <c r="W44" s="887"/>
      <c r="X44" s="887"/>
      <c r="Y44" s="887"/>
      <c r="Z44" s="887"/>
      <c r="AA44" s="887"/>
      <c r="AB44" s="887"/>
      <c r="AC44" s="887"/>
      <c r="AD44" s="887"/>
      <c r="AE44" s="887"/>
      <c r="AF44" s="887"/>
      <c r="AG44" s="887"/>
      <c r="AH44" s="887"/>
      <c r="AI44" s="887"/>
      <c r="AJ44" s="887"/>
      <c r="AK44" s="887"/>
      <c r="AL44" s="887"/>
      <c r="AM44" s="887"/>
      <c r="AN44" s="887"/>
      <c r="AO44" s="796"/>
    </row>
    <row r="45" spans="1:41">
      <c r="A45" s="809">
        <v>1</v>
      </c>
      <c r="B45" s="874" t="b">
        <v>1</v>
      </c>
      <c r="C45" s="874" t="s">
        <v>1659</v>
      </c>
      <c r="D45" s="874"/>
      <c r="E45" s="874"/>
      <c r="F45" s="874"/>
      <c r="G45" s="874"/>
      <c r="H45" s="874"/>
      <c r="I45" s="874"/>
      <c r="J45" s="874"/>
      <c r="K45" s="874"/>
      <c r="L45" s="258" t="s">
        <v>396</v>
      </c>
      <c r="M45" s="260" t="s">
        <v>1098</v>
      </c>
      <c r="N45" s="255" t="s">
        <v>352</v>
      </c>
      <c r="O45" s="887"/>
      <c r="P45" s="887"/>
      <c r="Q45" s="887"/>
      <c r="R45" s="887"/>
      <c r="S45" s="887"/>
      <c r="T45" s="887"/>
      <c r="U45" s="887"/>
      <c r="V45" s="887"/>
      <c r="W45" s="887"/>
      <c r="X45" s="887"/>
      <c r="Y45" s="887"/>
      <c r="Z45" s="887"/>
      <c r="AA45" s="887"/>
      <c r="AB45" s="887"/>
      <c r="AC45" s="887"/>
      <c r="AD45" s="887"/>
      <c r="AE45" s="887"/>
      <c r="AF45" s="887"/>
      <c r="AG45" s="887"/>
      <c r="AH45" s="887"/>
      <c r="AI45" s="887"/>
      <c r="AJ45" s="887"/>
      <c r="AK45" s="887"/>
      <c r="AL45" s="887"/>
      <c r="AM45" s="887"/>
      <c r="AN45" s="887"/>
      <c r="AO45" s="796"/>
    </row>
    <row r="46" spans="1:41">
      <c r="A46" s="809">
        <v>1</v>
      </c>
      <c r="B46" s="874" t="b">
        <v>1</v>
      </c>
      <c r="C46" s="874" t="s">
        <v>1660</v>
      </c>
      <c r="D46" s="874"/>
      <c r="E46" s="874"/>
      <c r="F46" s="874"/>
      <c r="G46" s="874"/>
      <c r="H46" s="874"/>
      <c r="I46" s="874"/>
      <c r="J46" s="874"/>
      <c r="K46" s="874"/>
      <c r="L46" s="258" t="s">
        <v>1060</v>
      </c>
      <c r="M46" s="260" t="s">
        <v>423</v>
      </c>
      <c r="N46" s="255" t="s">
        <v>352</v>
      </c>
      <c r="O46" s="887"/>
      <c r="P46" s="887"/>
      <c r="Q46" s="887"/>
      <c r="R46" s="887"/>
      <c r="S46" s="887"/>
      <c r="T46" s="887"/>
      <c r="U46" s="887"/>
      <c r="V46" s="887"/>
      <c r="W46" s="887"/>
      <c r="X46" s="887"/>
      <c r="Y46" s="887"/>
      <c r="Z46" s="887"/>
      <c r="AA46" s="887"/>
      <c r="AB46" s="887"/>
      <c r="AC46" s="887"/>
      <c r="AD46" s="887"/>
      <c r="AE46" s="887"/>
      <c r="AF46" s="887"/>
      <c r="AG46" s="887"/>
      <c r="AH46" s="887"/>
      <c r="AI46" s="887"/>
      <c r="AJ46" s="887"/>
      <c r="AK46" s="887"/>
      <c r="AL46" s="887"/>
      <c r="AM46" s="887"/>
      <c r="AN46" s="887"/>
      <c r="AO46" s="796"/>
    </row>
    <row r="47" spans="1:41">
      <c r="A47" s="809">
        <v>1</v>
      </c>
      <c r="B47" s="874" t="b">
        <v>1</v>
      </c>
      <c r="C47" s="874" t="s">
        <v>1661</v>
      </c>
      <c r="D47" s="874"/>
      <c r="E47" s="874"/>
      <c r="F47" s="874"/>
      <c r="G47" s="874"/>
      <c r="H47" s="874"/>
      <c r="I47" s="874"/>
      <c r="J47" s="874"/>
      <c r="K47" s="874"/>
      <c r="L47" s="258" t="s">
        <v>1061</v>
      </c>
      <c r="M47" s="260" t="s">
        <v>424</v>
      </c>
      <c r="N47" s="255" t="s">
        <v>352</v>
      </c>
      <c r="O47" s="887"/>
      <c r="P47" s="887"/>
      <c r="Q47" s="887"/>
      <c r="R47" s="887"/>
      <c r="S47" s="887"/>
      <c r="T47" s="887"/>
      <c r="U47" s="887"/>
      <c r="V47" s="887"/>
      <c r="W47" s="887"/>
      <c r="X47" s="887"/>
      <c r="Y47" s="887"/>
      <c r="Z47" s="887"/>
      <c r="AA47" s="887"/>
      <c r="AB47" s="887"/>
      <c r="AC47" s="887"/>
      <c r="AD47" s="887"/>
      <c r="AE47" s="887"/>
      <c r="AF47" s="887"/>
      <c r="AG47" s="887"/>
      <c r="AH47" s="887"/>
      <c r="AI47" s="887"/>
      <c r="AJ47" s="887"/>
      <c r="AK47" s="887"/>
      <c r="AL47" s="887"/>
      <c r="AM47" s="887"/>
      <c r="AN47" s="887"/>
      <c r="AO47" s="796"/>
    </row>
    <row r="48" spans="1:41">
      <c r="A48" s="809">
        <v>1</v>
      </c>
      <c r="B48" s="874" t="b">
        <v>1</v>
      </c>
      <c r="C48" s="874" t="s">
        <v>1408</v>
      </c>
      <c r="D48" s="874"/>
      <c r="E48" s="874"/>
      <c r="F48" s="874"/>
      <c r="G48" s="874"/>
      <c r="H48" s="874"/>
      <c r="I48" s="874"/>
      <c r="J48" s="874"/>
      <c r="K48" s="874"/>
      <c r="L48" s="258" t="s">
        <v>150</v>
      </c>
      <c r="M48" s="259" t="s">
        <v>425</v>
      </c>
      <c r="N48" s="255" t="s">
        <v>352</v>
      </c>
      <c r="O48" s="886">
        <v>0</v>
      </c>
      <c r="P48" s="886">
        <v>0</v>
      </c>
      <c r="Q48" s="886">
        <v>0</v>
      </c>
      <c r="R48" s="886">
        <v>0</v>
      </c>
      <c r="S48" s="886">
        <v>0</v>
      </c>
      <c r="T48" s="886">
        <v>0</v>
      </c>
      <c r="U48" s="886">
        <v>0</v>
      </c>
      <c r="V48" s="886">
        <v>0</v>
      </c>
      <c r="W48" s="886">
        <v>0</v>
      </c>
      <c r="X48" s="886">
        <v>0</v>
      </c>
      <c r="Y48" s="886">
        <v>0</v>
      </c>
      <c r="Z48" s="886">
        <v>0</v>
      </c>
      <c r="AA48" s="886">
        <v>0</v>
      </c>
      <c r="AB48" s="886">
        <v>0</v>
      </c>
      <c r="AC48" s="886">
        <v>0</v>
      </c>
      <c r="AD48" s="886">
        <v>0</v>
      </c>
      <c r="AE48" s="886">
        <v>0</v>
      </c>
      <c r="AF48" s="886">
        <v>0</v>
      </c>
      <c r="AG48" s="886">
        <v>0</v>
      </c>
      <c r="AH48" s="886">
        <v>0</v>
      </c>
      <c r="AI48" s="886">
        <v>0</v>
      </c>
      <c r="AJ48" s="886">
        <v>0</v>
      </c>
      <c r="AK48" s="886">
        <v>0</v>
      </c>
      <c r="AL48" s="886">
        <v>0</v>
      </c>
      <c r="AM48" s="886">
        <v>0</v>
      </c>
      <c r="AN48" s="886">
        <v>0</v>
      </c>
      <c r="AO48" s="796"/>
    </row>
    <row r="49" spans="1:41">
      <c r="A49" s="809">
        <v>1</v>
      </c>
      <c r="B49" s="874" t="b">
        <v>1</v>
      </c>
      <c r="C49" s="874" t="s">
        <v>1409</v>
      </c>
      <c r="D49" s="874"/>
      <c r="E49" s="874"/>
      <c r="F49" s="874"/>
      <c r="G49" s="874"/>
      <c r="H49" s="874"/>
      <c r="I49" s="874"/>
      <c r="J49" s="874"/>
      <c r="K49" s="874"/>
      <c r="L49" s="258" t="s">
        <v>515</v>
      </c>
      <c r="M49" s="260" t="s">
        <v>426</v>
      </c>
      <c r="N49" s="255" t="s">
        <v>352</v>
      </c>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796"/>
    </row>
    <row r="50" spans="1:41">
      <c r="A50" s="809">
        <v>1</v>
      </c>
      <c r="B50" s="874" t="b">
        <v>1</v>
      </c>
      <c r="C50" s="874" t="s">
        <v>1410</v>
      </c>
      <c r="D50" s="874"/>
      <c r="E50" s="874"/>
      <c r="F50" s="874"/>
      <c r="G50" s="874"/>
      <c r="H50" s="874"/>
      <c r="I50" s="874"/>
      <c r="J50" s="874"/>
      <c r="K50" s="874"/>
      <c r="L50" s="258" t="s">
        <v>521</v>
      </c>
      <c r="M50" s="260" t="s">
        <v>427</v>
      </c>
      <c r="N50" s="255" t="s">
        <v>352</v>
      </c>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796"/>
    </row>
    <row r="51" spans="1:41">
      <c r="A51" s="809">
        <v>1</v>
      </c>
      <c r="B51" s="874" t="b">
        <v>1</v>
      </c>
      <c r="C51" s="874" t="s">
        <v>1422</v>
      </c>
      <c r="D51" s="874"/>
      <c r="E51" s="874"/>
      <c r="F51" s="874"/>
      <c r="G51" s="874"/>
      <c r="H51" s="874"/>
      <c r="I51" s="874"/>
      <c r="J51" s="874"/>
      <c r="K51" s="874"/>
      <c r="L51" s="258" t="s">
        <v>523</v>
      </c>
      <c r="M51" s="260" t="s">
        <v>428</v>
      </c>
      <c r="N51" s="255" t="s">
        <v>352</v>
      </c>
      <c r="O51" s="887"/>
      <c r="P51" s="887"/>
      <c r="Q51" s="887"/>
      <c r="R51" s="887"/>
      <c r="S51" s="887"/>
      <c r="T51" s="887"/>
      <c r="U51" s="887"/>
      <c r="V51" s="887"/>
      <c r="W51" s="887"/>
      <c r="X51" s="887"/>
      <c r="Y51" s="887"/>
      <c r="Z51" s="887"/>
      <c r="AA51" s="887"/>
      <c r="AB51" s="887"/>
      <c r="AC51" s="887"/>
      <c r="AD51" s="887"/>
      <c r="AE51" s="887"/>
      <c r="AF51" s="887"/>
      <c r="AG51" s="887"/>
      <c r="AH51" s="887"/>
      <c r="AI51" s="887"/>
      <c r="AJ51" s="887"/>
      <c r="AK51" s="887"/>
      <c r="AL51" s="887"/>
      <c r="AM51" s="887"/>
      <c r="AN51" s="887"/>
      <c r="AO51" s="796"/>
    </row>
    <row r="52" spans="1:41">
      <c r="A52" s="809">
        <v>1</v>
      </c>
      <c r="B52" s="874" t="b">
        <v>1</v>
      </c>
      <c r="C52" s="874" t="s">
        <v>1519</v>
      </c>
      <c r="D52" s="874"/>
      <c r="E52" s="874"/>
      <c r="F52" s="874"/>
      <c r="G52" s="874"/>
      <c r="H52" s="874"/>
      <c r="I52" s="874"/>
      <c r="J52" s="874"/>
      <c r="K52" s="874"/>
      <c r="L52" s="258" t="s">
        <v>360</v>
      </c>
      <c r="M52" s="259" t="s">
        <v>429</v>
      </c>
      <c r="N52" s="255" t="s">
        <v>352</v>
      </c>
      <c r="O52" s="886">
        <v>0</v>
      </c>
      <c r="P52" s="886">
        <v>0</v>
      </c>
      <c r="Q52" s="886">
        <v>0</v>
      </c>
      <c r="R52" s="886">
        <v>0</v>
      </c>
      <c r="S52" s="886">
        <v>0</v>
      </c>
      <c r="T52" s="886">
        <v>0</v>
      </c>
      <c r="U52" s="886">
        <v>0</v>
      </c>
      <c r="V52" s="886">
        <v>0</v>
      </c>
      <c r="W52" s="886">
        <v>0</v>
      </c>
      <c r="X52" s="886">
        <v>0</v>
      </c>
      <c r="Y52" s="886">
        <v>0</v>
      </c>
      <c r="Z52" s="886">
        <v>0</v>
      </c>
      <c r="AA52" s="886">
        <v>0</v>
      </c>
      <c r="AB52" s="886">
        <v>0</v>
      </c>
      <c r="AC52" s="886">
        <v>0</v>
      </c>
      <c r="AD52" s="886">
        <v>0</v>
      </c>
      <c r="AE52" s="886">
        <v>0</v>
      </c>
      <c r="AF52" s="886">
        <v>0</v>
      </c>
      <c r="AG52" s="886">
        <v>0</v>
      </c>
      <c r="AH52" s="886">
        <v>0</v>
      </c>
      <c r="AI52" s="886">
        <v>0</v>
      </c>
      <c r="AJ52" s="886">
        <v>0</v>
      </c>
      <c r="AK52" s="886">
        <v>0</v>
      </c>
      <c r="AL52" s="886">
        <v>0</v>
      </c>
      <c r="AM52" s="886">
        <v>0</v>
      </c>
      <c r="AN52" s="886">
        <v>0</v>
      </c>
      <c r="AO52" s="796"/>
    </row>
    <row r="53" spans="1:41">
      <c r="A53" s="809">
        <v>1</v>
      </c>
      <c r="B53" s="874" t="b">
        <v>1</v>
      </c>
      <c r="C53" s="874" t="s">
        <v>1520</v>
      </c>
      <c r="D53" s="874"/>
      <c r="E53" s="874"/>
      <c r="F53" s="874"/>
      <c r="G53" s="874"/>
      <c r="H53" s="874"/>
      <c r="I53" s="874"/>
      <c r="J53" s="874"/>
      <c r="K53" s="874"/>
      <c r="L53" s="258" t="s">
        <v>544</v>
      </c>
      <c r="M53" s="260" t="s">
        <v>430</v>
      </c>
      <c r="N53" s="255" t="s">
        <v>352</v>
      </c>
      <c r="O53" s="887"/>
      <c r="P53" s="887"/>
      <c r="Q53" s="887"/>
      <c r="R53" s="887"/>
      <c r="S53" s="887"/>
      <c r="T53" s="887"/>
      <c r="U53" s="887"/>
      <c r="V53" s="887"/>
      <c r="W53" s="887"/>
      <c r="X53" s="887"/>
      <c r="Y53" s="887"/>
      <c r="Z53" s="887"/>
      <c r="AA53" s="887"/>
      <c r="AB53" s="887"/>
      <c r="AC53" s="887"/>
      <c r="AD53" s="887"/>
      <c r="AE53" s="887"/>
      <c r="AF53" s="887"/>
      <c r="AG53" s="887"/>
      <c r="AH53" s="887"/>
      <c r="AI53" s="887"/>
      <c r="AJ53" s="887"/>
      <c r="AK53" s="887"/>
      <c r="AL53" s="887"/>
      <c r="AM53" s="887"/>
      <c r="AN53" s="887"/>
      <c r="AO53" s="796"/>
    </row>
    <row r="54" spans="1:41">
      <c r="A54" s="809">
        <v>1</v>
      </c>
      <c r="B54" s="874" t="b">
        <v>1</v>
      </c>
      <c r="C54" s="874" t="s">
        <v>1521</v>
      </c>
      <c r="D54" s="874"/>
      <c r="E54" s="874"/>
      <c r="F54" s="874"/>
      <c r="G54" s="874"/>
      <c r="H54" s="874"/>
      <c r="I54" s="874"/>
      <c r="J54" s="874"/>
      <c r="K54" s="874"/>
      <c r="L54" s="258" t="s">
        <v>546</v>
      </c>
      <c r="M54" s="260" t="s">
        <v>431</v>
      </c>
      <c r="N54" s="255" t="s">
        <v>352</v>
      </c>
      <c r="O54" s="887"/>
      <c r="P54" s="887"/>
      <c r="Q54" s="887"/>
      <c r="R54" s="887"/>
      <c r="S54" s="887"/>
      <c r="T54" s="887"/>
      <c r="U54" s="887"/>
      <c r="V54" s="887"/>
      <c r="W54" s="887"/>
      <c r="X54" s="887"/>
      <c r="Y54" s="887"/>
      <c r="Z54" s="887"/>
      <c r="AA54" s="887"/>
      <c r="AB54" s="887"/>
      <c r="AC54" s="887"/>
      <c r="AD54" s="887"/>
      <c r="AE54" s="887"/>
      <c r="AF54" s="887"/>
      <c r="AG54" s="887"/>
      <c r="AH54" s="887"/>
      <c r="AI54" s="887"/>
      <c r="AJ54" s="887"/>
      <c r="AK54" s="887"/>
      <c r="AL54" s="887"/>
      <c r="AM54" s="887"/>
      <c r="AN54" s="887"/>
      <c r="AO54" s="796"/>
    </row>
    <row r="55" spans="1:41">
      <c r="A55" s="809">
        <v>1</v>
      </c>
      <c r="B55" s="874" t="b">
        <v>1</v>
      </c>
      <c r="C55" s="874" t="s">
        <v>1522</v>
      </c>
      <c r="D55" s="874"/>
      <c r="E55" s="874"/>
      <c r="F55" s="874"/>
      <c r="G55" s="874"/>
      <c r="H55" s="874"/>
      <c r="I55" s="874"/>
      <c r="J55" s="874"/>
      <c r="K55" s="874"/>
      <c r="L55" s="258" t="s">
        <v>548</v>
      </c>
      <c r="M55" s="260" t="s">
        <v>432</v>
      </c>
      <c r="N55" s="255" t="s">
        <v>352</v>
      </c>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7"/>
      <c r="AL55" s="887"/>
      <c r="AM55" s="887"/>
      <c r="AN55" s="887"/>
      <c r="AO55" s="796"/>
    </row>
    <row r="56" spans="1:41">
      <c r="A56" s="809">
        <v>1</v>
      </c>
      <c r="B56" s="874" t="b">
        <v>1</v>
      </c>
      <c r="C56" s="874" t="s">
        <v>1527</v>
      </c>
      <c r="D56" s="874"/>
      <c r="E56" s="874"/>
      <c r="F56" s="874"/>
      <c r="G56" s="874"/>
      <c r="H56" s="874"/>
      <c r="I56" s="874"/>
      <c r="J56" s="874"/>
      <c r="K56" s="874"/>
      <c r="L56" s="258" t="s">
        <v>362</v>
      </c>
      <c r="M56" s="259" t="s">
        <v>433</v>
      </c>
      <c r="N56" s="255" t="s">
        <v>352</v>
      </c>
      <c r="O56" s="886">
        <v>0</v>
      </c>
      <c r="P56" s="886">
        <v>0</v>
      </c>
      <c r="Q56" s="886">
        <v>0</v>
      </c>
      <c r="R56" s="886">
        <v>0</v>
      </c>
      <c r="S56" s="886">
        <v>0</v>
      </c>
      <c r="T56" s="886">
        <v>0</v>
      </c>
      <c r="U56" s="886">
        <v>0</v>
      </c>
      <c r="V56" s="886">
        <v>0</v>
      </c>
      <c r="W56" s="886">
        <v>0</v>
      </c>
      <c r="X56" s="886">
        <v>0</v>
      </c>
      <c r="Y56" s="886">
        <v>0</v>
      </c>
      <c r="Z56" s="886">
        <v>0</v>
      </c>
      <c r="AA56" s="886">
        <v>0</v>
      </c>
      <c r="AB56" s="886">
        <v>0</v>
      </c>
      <c r="AC56" s="886">
        <v>0</v>
      </c>
      <c r="AD56" s="886">
        <v>0</v>
      </c>
      <c r="AE56" s="886">
        <v>0</v>
      </c>
      <c r="AF56" s="886">
        <v>0</v>
      </c>
      <c r="AG56" s="886">
        <v>0</v>
      </c>
      <c r="AH56" s="886">
        <v>0</v>
      </c>
      <c r="AI56" s="886">
        <v>0</v>
      </c>
      <c r="AJ56" s="886">
        <v>0</v>
      </c>
      <c r="AK56" s="886">
        <v>0</v>
      </c>
      <c r="AL56" s="886">
        <v>0</v>
      </c>
      <c r="AM56" s="886">
        <v>0</v>
      </c>
      <c r="AN56" s="886">
        <v>0</v>
      </c>
      <c r="AO56" s="796"/>
    </row>
    <row r="57" spans="1:41">
      <c r="A57" s="809">
        <v>1</v>
      </c>
      <c r="B57" s="874" t="b">
        <v>1</v>
      </c>
      <c r="C57" s="874" t="s">
        <v>1529</v>
      </c>
      <c r="D57" s="874"/>
      <c r="E57" s="874"/>
      <c r="F57" s="874"/>
      <c r="G57" s="874"/>
      <c r="H57" s="874"/>
      <c r="I57" s="874"/>
      <c r="J57" s="874"/>
      <c r="K57" s="874"/>
      <c r="L57" s="258" t="s">
        <v>551</v>
      </c>
      <c r="M57" s="260" t="s">
        <v>434</v>
      </c>
      <c r="N57" s="255" t="s">
        <v>352</v>
      </c>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87"/>
      <c r="AN57" s="887"/>
      <c r="AO57" s="796"/>
    </row>
    <row r="58" spans="1:41" ht="22.8">
      <c r="A58" s="809">
        <v>1</v>
      </c>
      <c r="B58" s="874" t="b">
        <v>1</v>
      </c>
      <c r="C58" s="874" t="s">
        <v>1544</v>
      </c>
      <c r="D58" s="874"/>
      <c r="E58" s="874"/>
      <c r="F58" s="874"/>
      <c r="G58" s="874"/>
      <c r="H58" s="874"/>
      <c r="I58" s="874"/>
      <c r="J58" s="874"/>
      <c r="K58" s="874"/>
      <c r="L58" s="258" t="s">
        <v>565</v>
      </c>
      <c r="M58" s="260" t="s">
        <v>1150</v>
      </c>
      <c r="N58" s="255" t="s">
        <v>352</v>
      </c>
      <c r="O58" s="887"/>
      <c r="P58" s="887"/>
      <c r="Q58" s="887"/>
      <c r="R58" s="887"/>
      <c r="S58" s="887"/>
      <c r="T58" s="887"/>
      <c r="U58" s="887"/>
      <c r="V58" s="887"/>
      <c r="W58" s="887"/>
      <c r="X58" s="887"/>
      <c r="Y58" s="887"/>
      <c r="Z58" s="887"/>
      <c r="AA58" s="887"/>
      <c r="AB58" s="887"/>
      <c r="AC58" s="887"/>
      <c r="AD58" s="887"/>
      <c r="AE58" s="887"/>
      <c r="AF58" s="887"/>
      <c r="AG58" s="887"/>
      <c r="AH58" s="887"/>
      <c r="AI58" s="887"/>
      <c r="AJ58" s="887"/>
      <c r="AK58" s="887"/>
      <c r="AL58" s="887"/>
      <c r="AM58" s="887"/>
      <c r="AN58" s="887"/>
      <c r="AO58" s="796"/>
    </row>
    <row r="59" spans="1:41" ht="22.8">
      <c r="A59" s="809">
        <v>1</v>
      </c>
      <c r="B59" s="874" t="b">
        <v>1</v>
      </c>
      <c r="C59" s="874" t="s">
        <v>1550</v>
      </c>
      <c r="D59" s="874"/>
      <c r="E59" s="874"/>
      <c r="F59" s="874"/>
      <c r="G59" s="874"/>
      <c r="H59" s="874"/>
      <c r="I59" s="874"/>
      <c r="J59" s="874"/>
      <c r="K59" s="874"/>
      <c r="L59" s="258" t="s">
        <v>569</v>
      </c>
      <c r="M59" s="260" t="s">
        <v>435</v>
      </c>
      <c r="N59" s="255" t="s">
        <v>352</v>
      </c>
      <c r="O59" s="887"/>
      <c r="P59" s="887"/>
      <c r="Q59" s="887"/>
      <c r="R59" s="887"/>
      <c r="S59" s="887"/>
      <c r="T59" s="887"/>
      <c r="U59" s="887"/>
      <c r="V59" s="887"/>
      <c r="W59" s="887"/>
      <c r="X59" s="887"/>
      <c r="Y59" s="887"/>
      <c r="Z59" s="887"/>
      <c r="AA59" s="887"/>
      <c r="AB59" s="887"/>
      <c r="AC59" s="887"/>
      <c r="AD59" s="887"/>
      <c r="AE59" s="887"/>
      <c r="AF59" s="887"/>
      <c r="AG59" s="887"/>
      <c r="AH59" s="887"/>
      <c r="AI59" s="887"/>
      <c r="AJ59" s="887"/>
      <c r="AK59" s="887"/>
      <c r="AL59" s="887"/>
      <c r="AM59" s="887"/>
      <c r="AN59" s="887"/>
      <c r="AO59" s="796"/>
    </row>
    <row r="60" spans="1:41">
      <c r="A60" s="809">
        <v>1</v>
      </c>
      <c r="B60" s="874" t="b">
        <v>1</v>
      </c>
      <c r="C60" s="874" t="s">
        <v>1552</v>
      </c>
      <c r="D60" s="874"/>
      <c r="E60" s="874"/>
      <c r="F60" s="874"/>
      <c r="G60" s="874"/>
      <c r="H60" s="874"/>
      <c r="I60" s="874"/>
      <c r="J60" s="874"/>
      <c r="K60" s="874"/>
      <c r="L60" s="258" t="s">
        <v>571</v>
      </c>
      <c r="M60" s="260" t="s">
        <v>436</v>
      </c>
      <c r="N60" s="255" t="s">
        <v>352</v>
      </c>
      <c r="O60" s="887"/>
      <c r="P60" s="887"/>
      <c r="Q60" s="887"/>
      <c r="R60" s="887"/>
      <c r="S60" s="887"/>
      <c r="T60" s="887"/>
      <c r="U60" s="887"/>
      <c r="V60" s="887"/>
      <c r="W60" s="887"/>
      <c r="X60" s="887"/>
      <c r="Y60" s="887"/>
      <c r="Z60" s="887"/>
      <c r="AA60" s="887"/>
      <c r="AB60" s="887"/>
      <c r="AC60" s="887"/>
      <c r="AD60" s="887"/>
      <c r="AE60" s="887"/>
      <c r="AF60" s="887"/>
      <c r="AG60" s="887"/>
      <c r="AH60" s="887"/>
      <c r="AI60" s="887"/>
      <c r="AJ60" s="887"/>
      <c r="AK60" s="887"/>
      <c r="AL60" s="887"/>
      <c r="AM60" s="887"/>
      <c r="AN60" s="887"/>
      <c r="AO60" s="796"/>
    </row>
    <row r="61" spans="1:41" s="263" customFormat="1" ht="22.8">
      <c r="A61" s="809">
        <v>1</v>
      </c>
      <c r="B61" s="874" t="b">
        <v>1</v>
      </c>
      <c r="C61" s="874" t="s">
        <v>1438</v>
      </c>
      <c r="D61" s="884"/>
      <c r="E61" s="884"/>
      <c r="F61" s="884"/>
      <c r="G61" s="884"/>
      <c r="H61" s="884"/>
      <c r="I61" s="884"/>
      <c r="J61" s="884"/>
      <c r="K61" s="884"/>
      <c r="L61" s="261" t="s">
        <v>102</v>
      </c>
      <c r="M61" s="257" t="s">
        <v>437</v>
      </c>
      <c r="N61" s="262" t="s">
        <v>352</v>
      </c>
      <c r="O61" s="885">
        <v>0</v>
      </c>
      <c r="P61" s="885">
        <v>0</v>
      </c>
      <c r="Q61" s="885">
        <v>0</v>
      </c>
      <c r="R61" s="885">
        <v>0</v>
      </c>
      <c r="S61" s="885">
        <v>0</v>
      </c>
      <c r="T61" s="885">
        <v>0</v>
      </c>
      <c r="U61" s="885">
        <v>0</v>
      </c>
      <c r="V61" s="885">
        <v>0</v>
      </c>
      <c r="W61" s="885">
        <v>0</v>
      </c>
      <c r="X61" s="885">
        <v>0</v>
      </c>
      <c r="Y61" s="885">
        <v>0</v>
      </c>
      <c r="Z61" s="885">
        <v>0</v>
      </c>
      <c r="AA61" s="885">
        <v>0</v>
      </c>
      <c r="AB61" s="885">
        <v>0</v>
      </c>
      <c r="AC61" s="885">
        <v>0</v>
      </c>
      <c r="AD61" s="885">
        <v>0</v>
      </c>
      <c r="AE61" s="885">
        <v>0</v>
      </c>
      <c r="AF61" s="885">
        <v>0</v>
      </c>
      <c r="AG61" s="885">
        <v>0</v>
      </c>
      <c r="AH61" s="885">
        <v>0</v>
      </c>
      <c r="AI61" s="885">
        <v>0</v>
      </c>
      <c r="AJ61" s="885">
        <v>0</v>
      </c>
      <c r="AK61" s="885">
        <v>0</v>
      </c>
      <c r="AL61" s="885">
        <v>0</v>
      </c>
      <c r="AM61" s="885">
        <v>0</v>
      </c>
      <c r="AN61" s="885">
        <v>0</v>
      </c>
      <c r="AO61" s="796"/>
    </row>
    <row r="62" spans="1:41">
      <c r="A62" s="809">
        <v>1</v>
      </c>
      <c r="B62" s="874" t="b">
        <v>1</v>
      </c>
      <c r="C62" s="874" t="s">
        <v>1439</v>
      </c>
      <c r="D62" s="874"/>
      <c r="E62" s="874"/>
      <c r="F62" s="874"/>
      <c r="G62" s="874"/>
      <c r="H62" s="874"/>
      <c r="I62" s="874"/>
      <c r="J62" s="874"/>
      <c r="K62" s="874"/>
      <c r="L62" s="258" t="s">
        <v>17</v>
      </c>
      <c r="M62" s="259" t="s">
        <v>1161</v>
      </c>
      <c r="N62" s="255" t="s">
        <v>352</v>
      </c>
      <c r="O62" s="887"/>
      <c r="P62" s="887"/>
      <c r="Q62" s="887"/>
      <c r="R62" s="887"/>
      <c r="S62" s="887"/>
      <c r="T62" s="887"/>
      <c r="U62" s="887"/>
      <c r="V62" s="887"/>
      <c r="W62" s="887"/>
      <c r="X62" s="887"/>
      <c r="Y62" s="887"/>
      <c r="Z62" s="887"/>
      <c r="AA62" s="887"/>
      <c r="AB62" s="887"/>
      <c r="AC62" s="887"/>
      <c r="AD62" s="887"/>
      <c r="AE62" s="887"/>
      <c r="AF62" s="887"/>
      <c r="AG62" s="887"/>
      <c r="AH62" s="887"/>
      <c r="AI62" s="887"/>
      <c r="AJ62" s="887"/>
      <c r="AK62" s="887"/>
      <c r="AL62" s="887"/>
      <c r="AM62" s="887"/>
      <c r="AN62" s="887"/>
      <c r="AO62" s="796"/>
    </row>
    <row r="63" spans="1:41">
      <c r="A63" s="809">
        <v>1</v>
      </c>
      <c r="B63" s="874" t="b">
        <v>1</v>
      </c>
      <c r="C63" s="874" t="s">
        <v>1576</v>
      </c>
      <c r="D63" s="874"/>
      <c r="E63" s="874"/>
      <c r="F63" s="874"/>
      <c r="G63" s="874"/>
      <c r="H63" s="874"/>
      <c r="I63" s="874"/>
      <c r="J63" s="874"/>
      <c r="K63" s="874"/>
      <c r="L63" s="258" t="s">
        <v>138</v>
      </c>
      <c r="M63" s="259" t="s">
        <v>1162</v>
      </c>
      <c r="N63" s="255" t="s">
        <v>352</v>
      </c>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796"/>
    </row>
    <row r="64" spans="1:41">
      <c r="A64" s="809">
        <v>1</v>
      </c>
      <c r="B64" s="874" t="b">
        <v>1</v>
      </c>
      <c r="C64" s="874" t="s">
        <v>1577</v>
      </c>
      <c r="D64" s="874"/>
      <c r="E64" s="874"/>
      <c r="F64" s="874"/>
      <c r="G64" s="874"/>
      <c r="H64" s="874"/>
      <c r="I64" s="874"/>
      <c r="J64" s="874"/>
      <c r="K64" s="874"/>
      <c r="L64" s="258" t="s">
        <v>151</v>
      </c>
      <c r="M64" s="259" t="s">
        <v>438</v>
      </c>
      <c r="N64" s="255" t="s">
        <v>352</v>
      </c>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87"/>
      <c r="AN64" s="887"/>
      <c r="AO64" s="796"/>
    </row>
    <row r="65" spans="1:41" s="80" customFormat="1">
      <c r="A65" s="788" t="s">
        <v>102</v>
      </c>
      <c r="B65" s="874" t="b">
        <v>1</v>
      </c>
      <c r="C65" s="774"/>
      <c r="D65" s="774"/>
      <c r="E65" s="774"/>
      <c r="F65" s="774"/>
      <c r="G65" s="774"/>
      <c r="H65" s="774"/>
      <c r="I65" s="774"/>
      <c r="J65" s="774"/>
      <c r="K65" s="774"/>
      <c r="L65" s="888" t="s">
        <v>3009</v>
      </c>
      <c r="M65" s="889"/>
      <c r="N65" s="889"/>
      <c r="O65" s="889"/>
      <c r="P65" s="889"/>
      <c r="Q65" s="889"/>
      <c r="R65" s="889"/>
      <c r="S65" s="889"/>
      <c r="T65" s="889"/>
      <c r="U65" s="889"/>
      <c r="V65" s="889"/>
      <c r="W65" s="889"/>
      <c r="X65" s="889"/>
      <c r="Y65" s="889"/>
      <c r="Z65" s="889"/>
      <c r="AA65" s="889"/>
      <c r="AB65" s="889"/>
      <c r="AC65" s="889"/>
      <c r="AD65" s="889"/>
      <c r="AE65" s="889"/>
      <c r="AF65" s="889"/>
      <c r="AG65" s="889"/>
      <c r="AH65" s="889"/>
      <c r="AI65" s="889"/>
      <c r="AJ65" s="889"/>
      <c r="AK65" s="889"/>
      <c r="AL65" s="889"/>
      <c r="AM65" s="889"/>
      <c r="AN65" s="889"/>
      <c r="AO65" s="889"/>
    </row>
    <row r="66" spans="1:41" s="263" customFormat="1" ht="22.8">
      <c r="A66" s="809">
        <v>2</v>
      </c>
      <c r="B66" s="874" t="b">
        <v>1</v>
      </c>
      <c r="C66" s="874" t="s">
        <v>1406</v>
      </c>
      <c r="D66" s="884"/>
      <c r="E66" s="884"/>
      <c r="F66" s="884"/>
      <c r="G66" s="884"/>
      <c r="H66" s="884"/>
      <c r="I66" s="884"/>
      <c r="J66" s="884"/>
      <c r="K66" s="884"/>
      <c r="L66" s="261">
        <v>1</v>
      </c>
      <c r="M66" s="256" t="s">
        <v>420</v>
      </c>
      <c r="N66" s="262" t="s">
        <v>352</v>
      </c>
      <c r="O66" s="885">
        <v>0</v>
      </c>
      <c r="P66" s="885">
        <v>0</v>
      </c>
      <c r="Q66" s="885">
        <v>0</v>
      </c>
      <c r="R66" s="885">
        <v>0</v>
      </c>
      <c r="S66" s="885">
        <v>0</v>
      </c>
      <c r="T66" s="885">
        <v>0</v>
      </c>
      <c r="U66" s="885">
        <v>0</v>
      </c>
      <c r="V66" s="885">
        <v>0</v>
      </c>
      <c r="W66" s="885">
        <v>0</v>
      </c>
      <c r="X66" s="885">
        <v>0</v>
      </c>
      <c r="Y66" s="885">
        <v>0</v>
      </c>
      <c r="Z66" s="885">
        <v>0</v>
      </c>
      <c r="AA66" s="885">
        <v>0</v>
      </c>
      <c r="AB66" s="885">
        <v>0</v>
      </c>
      <c r="AC66" s="885">
        <v>0</v>
      </c>
      <c r="AD66" s="885">
        <v>0</v>
      </c>
      <c r="AE66" s="885">
        <v>0</v>
      </c>
      <c r="AF66" s="885">
        <v>0</v>
      </c>
      <c r="AG66" s="885">
        <v>0</v>
      </c>
      <c r="AH66" s="885">
        <v>0</v>
      </c>
      <c r="AI66" s="885">
        <v>0</v>
      </c>
      <c r="AJ66" s="885">
        <v>0</v>
      </c>
      <c r="AK66" s="885">
        <v>0</v>
      </c>
      <c r="AL66" s="885">
        <v>0</v>
      </c>
      <c r="AM66" s="885">
        <v>0</v>
      </c>
      <c r="AN66" s="885">
        <v>0</v>
      </c>
      <c r="AO66" s="796"/>
    </row>
    <row r="67" spans="1:41">
      <c r="A67" s="809">
        <v>2</v>
      </c>
      <c r="B67" s="874" t="b">
        <v>1</v>
      </c>
      <c r="C67" s="874" t="s">
        <v>1407</v>
      </c>
      <c r="D67" s="874"/>
      <c r="E67" s="874"/>
      <c r="F67" s="874"/>
      <c r="G67" s="874"/>
      <c r="H67" s="874"/>
      <c r="I67" s="874"/>
      <c r="J67" s="874"/>
      <c r="K67" s="874"/>
      <c r="L67" s="258" t="s">
        <v>149</v>
      </c>
      <c r="M67" s="259" t="s">
        <v>421</v>
      </c>
      <c r="N67" s="255" t="s">
        <v>352</v>
      </c>
      <c r="O67" s="886">
        <v>0</v>
      </c>
      <c r="P67" s="886">
        <v>0</v>
      </c>
      <c r="Q67" s="886">
        <v>0</v>
      </c>
      <c r="R67" s="886">
        <v>0</v>
      </c>
      <c r="S67" s="886">
        <v>0</v>
      </c>
      <c r="T67" s="886">
        <v>0</v>
      </c>
      <c r="U67" s="886">
        <v>0</v>
      </c>
      <c r="V67" s="886">
        <v>0</v>
      </c>
      <c r="W67" s="886">
        <v>0</v>
      </c>
      <c r="X67" s="886">
        <v>0</v>
      </c>
      <c r="Y67" s="886">
        <v>0</v>
      </c>
      <c r="Z67" s="886">
        <v>0</v>
      </c>
      <c r="AA67" s="886">
        <v>0</v>
      </c>
      <c r="AB67" s="886">
        <v>0</v>
      </c>
      <c r="AC67" s="886">
        <v>0</v>
      </c>
      <c r="AD67" s="886">
        <v>0</v>
      </c>
      <c r="AE67" s="886">
        <v>0</v>
      </c>
      <c r="AF67" s="886">
        <v>0</v>
      </c>
      <c r="AG67" s="886">
        <v>0</v>
      </c>
      <c r="AH67" s="886">
        <v>0</v>
      </c>
      <c r="AI67" s="886">
        <v>0</v>
      </c>
      <c r="AJ67" s="886">
        <v>0</v>
      </c>
      <c r="AK67" s="886">
        <v>0</v>
      </c>
      <c r="AL67" s="886">
        <v>0</v>
      </c>
      <c r="AM67" s="886">
        <v>0</v>
      </c>
      <c r="AN67" s="886">
        <v>0</v>
      </c>
      <c r="AO67" s="796"/>
    </row>
    <row r="68" spans="1:41">
      <c r="A68" s="809">
        <v>2</v>
      </c>
      <c r="B68" s="874" t="b">
        <v>1</v>
      </c>
      <c r="C68" s="874" t="s">
        <v>1658</v>
      </c>
      <c r="D68" s="874"/>
      <c r="E68" s="874"/>
      <c r="F68" s="874"/>
      <c r="G68" s="874"/>
      <c r="H68" s="874"/>
      <c r="I68" s="874"/>
      <c r="J68" s="874"/>
      <c r="K68" s="874"/>
      <c r="L68" s="258" t="s">
        <v>394</v>
      </c>
      <c r="M68" s="260" t="s">
        <v>422</v>
      </c>
      <c r="N68" s="255" t="s">
        <v>352</v>
      </c>
      <c r="O68" s="887"/>
      <c r="P68" s="887"/>
      <c r="Q68" s="887"/>
      <c r="R68" s="887"/>
      <c r="S68" s="887"/>
      <c r="T68" s="887"/>
      <c r="U68" s="887"/>
      <c r="V68" s="887"/>
      <c r="W68" s="887"/>
      <c r="X68" s="887"/>
      <c r="Y68" s="887"/>
      <c r="Z68" s="887"/>
      <c r="AA68" s="887"/>
      <c r="AB68" s="887"/>
      <c r="AC68" s="887"/>
      <c r="AD68" s="887"/>
      <c r="AE68" s="887"/>
      <c r="AF68" s="887"/>
      <c r="AG68" s="887"/>
      <c r="AH68" s="887"/>
      <c r="AI68" s="887"/>
      <c r="AJ68" s="887"/>
      <c r="AK68" s="887"/>
      <c r="AL68" s="887"/>
      <c r="AM68" s="887"/>
      <c r="AN68" s="887"/>
      <c r="AO68" s="796"/>
    </row>
    <row r="69" spans="1:41">
      <c r="A69" s="809">
        <v>2</v>
      </c>
      <c r="B69" s="874" t="b">
        <v>1</v>
      </c>
      <c r="C69" s="874" t="s">
        <v>1659</v>
      </c>
      <c r="D69" s="874"/>
      <c r="E69" s="874"/>
      <c r="F69" s="874"/>
      <c r="G69" s="874"/>
      <c r="H69" s="874"/>
      <c r="I69" s="874"/>
      <c r="J69" s="874"/>
      <c r="K69" s="874"/>
      <c r="L69" s="258" t="s">
        <v>396</v>
      </c>
      <c r="M69" s="260" t="s">
        <v>1098</v>
      </c>
      <c r="N69" s="255" t="s">
        <v>352</v>
      </c>
      <c r="O69" s="887"/>
      <c r="P69" s="887"/>
      <c r="Q69" s="887"/>
      <c r="R69" s="887"/>
      <c r="S69" s="887"/>
      <c r="T69" s="887"/>
      <c r="U69" s="887"/>
      <c r="V69" s="887"/>
      <c r="W69" s="887"/>
      <c r="X69" s="887"/>
      <c r="Y69" s="887"/>
      <c r="Z69" s="887"/>
      <c r="AA69" s="887"/>
      <c r="AB69" s="887"/>
      <c r="AC69" s="887"/>
      <c r="AD69" s="887"/>
      <c r="AE69" s="887"/>
      <c r="AF69" s="887"/>
      <c r="AG69" s="887"/>
      <c r="AH69" s="887"/>
      <c r="AI69" s="887"/>
      <c r="AJ69" s="887"/>
      <c r="AK69" s="887"/>
      <c r="AL69" s="887"/>
      <c r="AM69" s="887"/>
      <c r="AN69" s="887"/>
      <c r="AO69" s="796"/>
    </row>
    <row r="70" spans="1:41">
      <c r="A70" s="809">
        <v>2</v>
      </c>
      <c r="B70" s="874" t="b">
        <v>1</v>
      </c>
      <c r="C70" s="874" t="s">
        <v>1660</v>
      </c>
      <c r="D70" s="874"/>
      <c r="E70" s="874"/>
      <c r="F70" s="874"/>
      <c r="G70" s="874"/>
      <c r="H70" s="874"/>
      <c r="I70" s="874"/>
      <c r="J70" s="874"/>
      <c r="K70" s="874"/>
      <c r="L70" s="258" t="s">
        <v>1060</v>
      </c>
      <c r="M70" s="260" t="s">
        <v>423</v>
      </c>
      <c r="N70" s="255" t="s">
        <v>352</v>
      </c>
      <c r="O70" s="887"/>
      <c r="P70" s="887"/>
      <c r="Q70" s="887"/>
      <c r="R70" s="887"/>
      <c r="S70" s="887"/>
      <c r="T70" s="887"/>
      <c r="U70" s="887"/>
      <c r="V70" s="887"/>
      <c r="W70" s="887"/>
      <c r="X70" s="887"/>
      <c r="Y70" s="887"/>
      <c r="Z70" s="887"/>
      <c r="AA70" s="887"/>
      <c r="AB70" s="887"/>
      <c r="AC70" s="887"/>
      <c r="AD70" s="887"/>
      <c r="AE70" s="887"/>
      <c r="AF70" s="887"/>
      <c r="AG70" s="887"/>
      <c r="AH70" s="887"/>
      <c r="AI70" s="887"/>
      <c r="AJ70" s="887"/>
      <c r="AK70" s="887"/>
      <c r="AL70" s="887"/>
      <c r="AM70" s="887"/>
      <c r="AN70" s="887"/>
      <c r="AO70" s="796"/>
    </row>
    <row r="71" spans="1:41">
      <c r="A71" s="809">
        <v>2</v>
      </c>
      <c r="B71" s="874" t="b">
        <v>1</v>
      </c>
      <c r="C71" s="874" t="s">
        <v>1661</v>
      </c>
      <c r="D71" s="874"/>
      <c r="E71" s="874"/>
      <c r="F71" s="874"/>
      <c r="G71" s="874"/>
      <c r="H71" s="874"/>
      <c r="I71" s="874"/>
      <c r="J71" s="874"/>
      <c r="K71" s="874"/>
      <c r="L71" s="258" t="s">
        <v>1061</v>
      </c>
      <c r="M71" s="260" t="s">
        <v>424</v>
      </c>
      <c r="N71" s="255" t="s">
        <v>352</v>
      </c>
      <c r="O71" s="887"/>
      <c r="P71" s="887"/>
      <c r="Q71" s="887"/>
      <c r="R71" s="887"/>
      <c r="S71" s="887"/>
      <c r="T71" s="887"/>
      <c r="U71" s="887"/>
      <c r="V71" s="887"/>
      <c r="W71" s="887"/>
      <c r="X71" s="887"/>
      <c r="Y71" s="887"/>
      <c r="Z71" s="887"/>
      <c r="AA71" s="887"/>
      <c r="AB71" s="887"/>
      <c r="AC71" s="887"/>
      <c r="AD71" s="887"/>
      <c r="AE71" s="887"/>
      <c r="AF71" s="887"/>
      <c r="AG71" s="887"/>
      <c r="AH71" s="887"/>
      <c r="AI71" s="887"/>
      <c r="AJ71" s="887"/>
      <c r="AK71" s="887"/>
      <c r="AL71" s="887"/>
      <c r="AM71" s="887"/>
      <c r="AN71" s="887"/>
      <c r="AO71" s="796"/>
    </row>
    <row r="72" spans="1:41">
      <c r="A72" s="809">
        <v>2</v>
      </c>
      <c r="B72" s="874" t="b">
        <v>1</v>
      </c>
      <c r="C72" s="874" t="s">
        <v>1408</v>
      </c>
      <c r="D72" s="874"/>
      <c r="E72" s="874"/>
      <c r="F72" s="874"/>
      <c r="G72" s="874"/>
      <c r="H72" s="874"/>
      <c r="I72" s="874"/>
      <c r="J72" s="874"/>
      <c r="K72" s="874"/>
      <c r="L72" s="258" t="s">
        <v>150</v>
      </c>
      <c r="M72" s="259" t="s">
        <v>425</v>
      </c>
      <c r="N72" s="255" t="s">
        <v>352</v>
      </c>
      <c r="O72" s="886">
        <v>0</v>
      </c>
      <c r="P72" s="886">
        <v>0</v>
      </c>
      <c r="Q72" s="886">
        <v>0</v>
      </c>
      <c r="R72" s="886">
        <v>0</v>
      </c>
      <c r="S72" s="886">
        <v>0</v>
      </c>
      <c r="T72" s="886">
        <v>0</v>
      </c>
      <c r="U72" s="886">
        <v>0</v>
      </c>
      <c r="V72" s="886">
        <v>0</v>
      </c>
      <c r="W72" s="886">
        <v>0</v>
      </c>
      <c r="X72" s="886">
        <v>0</v>
      </c>
      <c r="Y72" s="886">
        <v>0</v>
      </c>
      <c r="Z72" s="886">
        <v>0</v>
      </c>
      <c r="AA72" s="886">
        <v>0</v>
      </c>
      <c r="AB72" s="886">
        <v>0</v>
      </c>
      <c r="AC72" s="886">
        <v>0</v>
      </c>
      <c r="AD72" s="886">
        <v>0</v>
      </c>
      <c r="AE72" s="886">
        <v>0</v>
      </c>
      <c r="AF72" s="886">
        <v>0</v>
      </c>
      <c r="AG72" s="886">
        <v>0</v>
      </c>
      <c r="AH72" s="886">
        <v>0</v>
      </c>
      <c r="AI72" s="886">
        <v>0</v>
      </c>
      <c r="AJ72" s="886">
        <v>0</v>
      </c>
      <c r="AK72" s="886">
        <v>0</v>
      </c>
      <c r="AL72" s="886">
        <v>0</v>
      </c>
      <c r="AM72" s="886">
        <v>0</v>
      </c>
      <c r="AN72" s="886">
        <v>0</v>
      </c>
      <c r="AO72" s="796"/>
    </row>
    <row r="73" spans="1:41">
      <c r="A73" s="809">
        <v>2</v>
      </c>
      <c r="B73" s="874" t="b">
        <v>1</v>
      </c>
      <c r="C73" s="874" t="s">
        <v>1409</v>
      </c>
      <c r="D73" s="874"/>
      <c r="E73" s="874"/>
      <c r="F73" s="874"/>
      <c r="G73" s="874"/>
      <c r="H73" s="874"/>
      <c r="I73" s="874"/>
      <c r="J73" s="874"/>
      <c r="K73" s="874"/>
      <c r="L73" s="258" t="s">
        <v>515</v>
      </c>
      <c r="M73" s="260" t="s">
        <v>426</v>
      </c>
      <c r="N73" s="255" t="s">
        <v>352</v>
      </c>
      <c r="O73" s="887"/>
      <c r="P73" s="887"/>
      <c r="Q73" s="887"/>
      <c r="R73" s="887"/>
      <c r="S73" s="887"/>
      <c r="T73" s="887"/>
      <c r="U73" s="887"/>
      <c r="V73" s="887"/>
      <c r="W73" s="887"/>
      <c r="X73" s="887"/>
      <c r="Y73" s="887"/>
      <c r="Z73" s="887"/>
      <c r="AA73" s="887"/>
      <c r="AB73" s="887"/>
      <c r="AC73" s="887"/>
      <c r="AD73" s="887"/>
      <c r="AE73" s="887"/>
      <c r="AF73" s="887"/>
      <c r="AG73" s="887"/>
      <c r="AH73" s="887"/>
      <c r="AI73" s="887"/>
      <c r="AJ73" s="887"/>
      <c r="AK73" s="887"/>
      <c r="AL73" s="887"/>
      <c r="AM73" s="887"/>
      <c r="AN73" s="887"/>
      <c r="AO73" s="796"/>
    </row>
    <row r="74" spans="1:41">
      <c r="A74" s="809">
        <v>2</v>
      </c>
      <c r="B74" s="874" t="b">
        <v>1</v>
      </c>
      <c r="C74" s="874" t="s">
        <v>1410</v>
      </c>
      <c r="D74" s="874"/>
      <c r="E74" s="874"/>
      <c r="F74" s="874"/>
      <c r="G74" s="874"/>
      <c r="H74" s="874"/>
      <c r="I74" s="874"/>
      <c r="J74" s="874"/>
      <c r="K74" s="874"/>
      <c r="L74" s="258" t="s">
        <v>521</v>
      </c>
      <c r="M74" s="260" t="s">
        <v>427</v>
      </c>
      <c r="N74" s="255" t="s">
        <v>352</v>
      </c>
      <c r="O74" s="887"/>
      <c r="P74" s="887"/>
      <c r="Q74" s="887"/>
      <c r="R74" s="887"/>
      <c r="S74" s="887"/>
      <c r="T74" s="887"/>
      <c r="U74" s="887"/>
      <c r="V74" s="887"/>
      <c r="W74" s="887"/>
      <c r="X74" s="887"/>
      <c r="Y74" s="887"/>
      <c r="Z74" s="887"/>
      <c r="AA74" s="887"/>
      <c r="AB74" s="887"/>
      <c r="AC74" s="887"/>
      <c r="AD74" s="887"/>
      <c r="AE74" s="887"/>
      <c r="AF74" s="887"/>
      <c r="AG74" s="887"/>
      <c r="AH74" s="887"/>
      <c r="AI74" s="887"/>
      <c r="AJ74" s="887"/>
      <c r="AK74" s="887"/>
      <c r="AL74" s="887"/>
      <c r="AM74" s="887"/>
      <c r="AN74" s="887"/>
      <c r="AO74" s="796"/>
    </row>
    <row r="75" spans="1:41">
      <c r="A75" s="809">
        <v>2</v>
      </c>
      <c r="B75" s="874" t="b">
        <v>1</v>
      </c>
      <c r="C75" s="874" t="s">
        <v>1422</v>
      </c>
      <c r="D75" s="874"/>
      <c r="E75" s="874"/>
      <c r="F75" s="874"/>
      <c r="G75" s="874"/>
      <c r="H75" s="874"/>
      <c r="I75" s="874"/>
      <c r="J75" s="874"/>
      <c r="K75" s="874"/>
      <c r="L75" s="258" t="s">
        <v>523</v>
      </c>
      <c r="M75" s="260" t="s">
        <v>428</v>
      </c>
      <c r="N75" s="255" t="s">
        <v>352</v>
      </c>
      <c r="O75" s="887"/>
      <c r="P75" s="887"/>
      <c r="Q75" s="887"/>
      <c r="R75" s="887"/>
      <c r="S75" s="887"/>
      <c r="T75" s="887"/>
      <c r="U75" s="887"/>
      <c r="V75" s="887"/>
      <c r="W75" s="887"/>
      <c r="X75" s="887"/>
      <c r="Y75" s="887"/>
      <c r="Z75" s="887"/>
      <c r="AA75" s="887"/>
      <c r="AB75" s="887"/>
      <c r="AC75" s="887"/>
      <c r="AD75" s="887"/>
      <c r="AE75" s="887"/>
      <c r="AF75" s="887"/>
      <c r="AG75" s="887"/>
      <c r="AH75" s="887"/>
      <c r="AI75" s="887"/>
      <c r="AJ75" s="887"/>
      <c r="AK75" s="887"/>
      <c r="AL75" s="887"/>
      <c r="AM75" s="887"/>
      <c r="AN75" s="887"/>
      <c r="AO75" s="796"/>
    </row>
    <row r="76" spans="1:41">
      <c r="A76" s="809">
        <v>2</v>
      </c>
      <c r="B76" s="874" t="b">
        <v>1</v>
      </c>
      <c r="C76" s="874" t="s">
        <v>1519</v>
      </c>
      <c r="D76" s="874"/>
      <c r="E76" s="874"/>
      <c r="F76" s="874"/>
      <c r="G76" s="874"/>
      <c r="H76" s="874"/>
      <c r="I76" s="874"/>
      <c r="J76" s="874"/>
      <c r="K76" s="874"/>
      <c r="L76" s="258" t="s">
        <v>360</v>
      </c>
      <c r="M76" s="259" t="s">
        <v>429</v>
      </c>
      <c r="N76" s="255" t="s">
        <v>352</v>
      </c>
      <c r="O76" s="886">
        <v>0</v>
      </c>
      <c r="P76" s="886">
        <v>0</v>
      </c>
      <c r="Q76" s="886">
        <v>0</v>
      </c>
      <c r="R76" s="886">
        <v>0</v>
      </c>
      <c r="S76" s="886">
        <v>0</v>
      </c>
      <c r="T76" s="886">
        <v>0</v>
      </c>
      <c r="U76" s="886">
        <v>0</v>
      </c>
      <c r="V76" s="886">
        <v>0</v>
      </c>
      <c r="W76" s="886">
        <v>0</v>
      </c>
      <c r="X76" s="886">
        <v>0</v>
      </c>
      <c r="Y76" s="886">
        <v>0</v>
      </c>
      <c r="Z76" s="886">
        <v>0</v>
      </c>
      <c r="AA76" s="886">
        <v>0</v>
      </c>
      <c r="AB76" s="886">
        <v>0</v>
      </c>
      <c r="AC76" s="886">
        <v>0</v>
      </c>
      <c r="AD76" s="886">
        <v>0</v>
      </c>
      <c r="AE76" s="886">
        <v>0</v>
      </c>
      <c r="AF76" s="886">
        <v>0</v>
      </c>
      <c r="AG76" s="886">
        <v>0</v>
      </c>
      <c r="AH76" s="886">
        <v>0</v>
      </c>
      <c r="AI76" s="886">
        <v>0</v>
      </c>
      <c r="AJ76" s="886">
        <v>0</v>
      </c>
      <c r="AK76" s="886">
        <v>0</v>
      </c>
      <c r="AL76" s="886">
        <v>0</v>
      </c>
      <c r="AM76" s="886">
        <v>0</v>
      </c>
      <c r="AN76" s="886">
        <v>0</v>
      </c>
      <c r="AO76" s="796"/>
    </row>
    <row r="77" spans="1:41">
      <c r="A77" s="809">
        <v>2</v>
      </c>
      <c r="B77" s="874" t="b">
        <v>1</v>
      </c>
      <c r="C77" s="874" t="s">
        <v>1520</v>
      </c>
      <c r="D77" s="874"/>
      <c r="E77" s="874"/>
      <c r="F77" s="874"/>
      <c r="G77" s="874"/>
      <c r="H77" s="874"/>
      <c r="I77" s="874"/>
      <c r="J77" s="874"/>
      <c r="K77" s="874"/>
      <c r="L77" s="258" t="s">
        <v>544</v>
      </c>
      <c r="M77" s="260" t="s">
        <v>430</v>
      </c>
      <c r="N77" s="255" t="s">
        <v>352</v>
      </c>
      <c r="O77" s="887"/>
      <c r="P77" s="887"/>
      <c r="Q77" s="887"/>
      <c r="R77" s="887"/>
      <c r="S77" s="887"/>
      <c r="T77" s="887"/>
      <c r="U77" s="887"/>
      <c r="V77" s="887"/>
      <c r="W77" s="887"/>
      <c r="X77" s="887"/>
      <c r="Y77" s="887"/>
      <c r="Z77" s="887"/>
      <c r="AA77" s="887"/>
      <c r="AB77" s="887"/>
      <c r="AC77" s="887"/>
      <c r="AD77" s="887"/>
      <c r="AE77" s="887"/>
      <c r="AF77" s="887"/>
      <c r="AG77" s="887"/>
      <c r="AH77" s="887"/>
      <c r="AI77" s="887"/>
      <c r="AJ77" s="887"/>
      <c r="AK77" s="887"/>
      <c r="AL77" s="887"/>
      <c r="AM77" s="887"/>
      <c r="AN77" s="887"/>
      <c r="AO77" s="796"/>
    </row>
    <row r="78" spans="1:41">
      <c r="A78" s="809">
        <v>2</v>
      </c>
      <c r="B78" s="874" t="b">
        <v>1</v>
      </c>
      <c r="C78" s="874" t="s">
        <v>1521</v>
      </c>
      <c r="D78" s="874"/>
      <c r="E78" s="874"/>
      <c r="F78" s="874"/>
      <c r="G78" s="874"/>
      <c r="H78" s="874"/>
      <c r="I78" s="874"/>
      <c r="J78" s="874"/>
      <c r="K78" s="874"/>
      <c r="L78" s="258" t="s">
        <v>546</v>
      </c>
      <c r="M78" s="260" t="s">
        <v>431</v>
      </c>
      <c r="N78" s="255" t="s">
        <v>352</v>
      </c>
      <c r="O78" s="887"/>
      <c r="P78" s="887"/>
      <c r="Q78" s="887"/>
      <c r="R78" s="887"/>
      <c r="S78" s="887"/>
      <c r="T78" s="887"/>
      <c r="U78" s="887"/>
      <c r="V78" s="887"/>
      <c r="W78" s="887"/>
      <c r="X78" s="887"/>
      <c r="Y78" s="887"/>
      <c r="Z78" s="887"/>
      <c r="AA78" s="887"/>
      <c r="AB78" s="887"/>
      <c r="AC78" s="887"/>
      <c r="AD78" s="887"/>
      <c r="AE78" s="887"/>
      <c r="AF78" s="887"/>
      <c r="AG78" s="887"/>
      <c r="AH78" s="887"/>
      <c r="AI78" s="887"/>
      <c r="AJ78" s="887"/>
      <c r="AK78" s="887"/>
      <c r="AL78" s="887"/>
      <c r="AM78" s="887"/>
      <c r="AN78" s="887"/>
      <c r="AO78" s="796"/>
    </row>
    <row r="79" spans="1:41">
      <c r="A79" s="809">
        <v>2</v>
      </c>
      <c r="B79" s="874" t="b">
        <v>1</v>
      </c>
      <c r="C79" s="874" t="s">
        <v>1522</v>
      </c>
      <c r="D79" s="874"/>
      <c r="E79" s="874"/>
      <c r="F79" s="874"/>
      <c r="G79" s="874"/>
      <c r="H79" s="874"/>
      <c r="I79" s="874"/>
      <c r="J79" s="874"/>
      <c r="K79" s="874"/>
      <c r="L79" s="258" t="s">
        <v>548</v>
      </c>
      <c r="M79" s="260" t="s">
        <v>432</v>
      </c>
      <c r="N79" s="255" t="s">
        <v>352</v>
      </c>
      <c r="O79" s="887"/>
      <c r="P79" s="887"/>
      <c r="Q79" s="887"/>
      <c r="R79" s="887"/>
      <c r="S79" s="887"/>
      <c r="T79" s="887"/>
      <c r="U79" s="887"/>
      <c r="V79" s="887"/>
      <c r="W79" s="887"/>
      <c r="X79" s="887"/>
      <c r="Y79" s="887"/>
      <c r="Z79" s="887"/>
      <c r="AA79" s="887"/>
      <c r="AB79" s="887"/>
      <c r="AC79" s="887"/>
      <c r="AD79" s="887"/>
      <c r="AE79" s="887"/>
      <c r="AF79" s="887"/>
      <c r="AG79" s="887"/>
      <c r="AH79" s="887"/>
      <c r="AI79" s="887"/>
      <c r="AJ79" s="887"/>
      <c r="AK79" s="887"/>
      <c r="AL79" s="887"/>
      <c r="AM79" s="887"/>
      <c r="AN79" s="887"/>
      <c r="AO79" s="796"/>
    </row>
    <row r="80" spans="1:41">
      <c r="A80" s="809">
        <v>2</v>
      </c>
      <c r="B80" s="874" t="b">
        <v>1</v>
      </c>
      <c r="C80" s="874" t="s">
        <v>1527</v>
      </c>
      <c r="D80" s="874"/>
      <c r="E80" s="874"/>
      <c r="F80" s="874"/>
      <c r="G80" s="874"/>
      <c r="H80" s="874"/>
      <c r="I80" s="874"/>
      <c r="J80" s="874"/>
      <c r="K80" s="874"/>
      <c r="L80" s="258" t="s">
        <v>362</v>
      </c>
      <c r="M80" s="259" t="s">
        <v>433</v>
      </c>
      <c r="N80" s="255" t="s">
        <v>352</v>
      </c>
      <c r="O80" s="886">
        <v>0</v>
      </c>
      <c r="P80" s="886">
        <v>0</v>
      </c>
      <c r="Q80" s="886">
        <v>0</v>
      </c>
      <c r="R80" s="886">
        <v>0</v>
      </c>
      <c r="S80" s="886">
        <v>0</v>
      </c>
      <c r="T80" s="886">
        <v>0</v>
      </c>
      <c r="U80" s="886">
        <v>0</v>
      </c>
      <c r="V80" s="886">
        <v>0</v>
      </c>
      <c r="W80" s="886">
        <v>0</v>
      </c>
      <c r="X80" s="886">
        <v>0</v>
      </c>
      <c r="Y80" s="886">
        <v>0</v>
      </c>
      <c r="Z80" s="886">
        <v>0</v>
      </c>
      <c r="AA80" s="886">
        <v>0</v>
      </c>
      <c r="AB80" s="886">
        <v>0</v>
      </c>
      <c r="AC80" s="886">
        <v>0</v>
      </c>
      <c r="AD80" s="886">
        <v>0</v>
      </c>
      <c r="AE80" s="886">
        <v>0</v>
      </c>
      <c r="AF80" s="886">
        <v>0</v>
      </c>
      <c r="AG80" s="886">
        <v>0</v>
      </c>
      <c r="AH80" s="886">
        <v>0</v>
      </c>
      <c r="AI80" s="886">
        <v>0</v>
      </c>
      <c r="AJ80" s="886">
        <v>0</v>
      </c>
      <c r="AK80" s="886">
        <v>0</v>
      </c>
      <c r="AL80" s="886">
        <v>0</v>
      </c>
      <c r="AM80" s="886">
        <v>0</v>
      </c>
      <c r="AN80" s="886">
        <v>0</v>
      </c>
      <c r="AO80" s="796"/>
    </row>
    <row r="81" spans="1:41">
      <c r="A81" s="809">
        <v>2</v>
      </c>
      <c r="B81" s="874" t="b">
        <v>1</v>
      </c>
      <c r="C81" s="874" t="s">
        <v>1529</v>
      </c>
      <c r="D81" s="874"/>
      <c r="E81" s="874"/>
      <c r="F81" s="874"/>
      <c r="G81" s="874"/>
      <c r="H81" s="874"/>
      <c r="I81" s="874"/>
      <c r="J81" s="874"/>
      <c r="K81" s="874"/>
      <c r="L81" s="258" t="s">
        <v>551</v>
      </c>
      <c r="M81" s="260" t="s">
        <v>434</v>
      </c>
      <c r="N81" s="255" t="s">
        <v>352</v>
      </c>
      <c r="O81" s="887"/>
      <c r="P81" s="887"/>
      <c r="Q81" s="887"/>
      <c r="R81" s="887"/>
      <c r="S81" s="887"/>
      <c r="T81" s="887"/>
      <c r="U81" s="887"/>
      <c r="V81" s="887"/>
      <c r="W81" s="887"/>
      <c r="X81" s="887"/>
      <c r="Y81" s="887"/>
      <c r="Z81" s="887"/>
      <c r="AA81" s="887"/>
      <c r="AB81" s="887"/>
      <c r="AC81" s="887"/>
      <c r="AD81" s="887"/>
      <c r="AE81" s="887"/>
      <c r="AF81" s="887"/>
      <c r="AG81" s="887"/>
      <c r="AH81" s="887"/>
      <c r="AI81" s="887"/>
      <c r="AJ81" s="887"/>
      <c r="AK81" s="887"/>
      <c r="AL81" s="887"/>
      <c r="AM81" s="887"/>
      <c r="AN81" s="887"/>
      <c r="AO81" s="796"/>
    </row>
    <row r="82" spans="1:41" ht="22.8">
      <c r="A82" s="809">
        <v>2</v>
      </c>
      <c r="B82" s="874" t="b">
        <v>1</v>
      </c>
      <c r="C82" s="874" t="s">
        <v>1544</v>
      </c>
      <c r="D82" s="874"/>
      <c r="E82" s="874"/>
      <c r="F82" s="874"/>
      <c r="G82" s="874"/>
      <c r="H82" s="874"/>
      <c r="I82" s="874"/>
      <c r="J82" s="874"/>
      <c r="K82" s="874"/>
      <c r="L82" s="258" t="s">
        <v>565</v>
      </c>
      <c r="M82" s="260" t="s">
        <v>1150</v>
      </c>
      <c r="N82" s="255" t="s">
        <v>352</v>
      </c>
      <c r="O82" s="887"/>
      <c r="P82" s="887"/>
      <c r="Q82" s="887"/>
      <c r="R82" s="887"/>
      <c r="S82" s="887"/>
      <c r="T82" s="887"/>
      <c r="U82" s="887"/>
      <c r="V82" s="887"/>
      <c r="W82" s="887"/>
      <c r="X82" s="887"/>
      <c r="Y82" s="887"/>
      <c r="Z82" s="887"/>
      <c r="AA82" s="887"/>
      <c r="AB82" s="887"/>
      <c r="AC82" s="887"/>
      <c r="AD82" s="887"/>
      <c r="AE82" s="887"/>
      <c r="AF82" s="887"/>
      <c r="AG82" s="887"/>
      <c r="AH82" s="887"/>
      <c r="AI82" s="887"/>
      <c r="AJ82" s="887"/>
      <c r="AK82" s="887"/>
      <c r="AL82" s="887"/>
      <c r="AM82" s="887"/>
      <c r="AN82" s="887"/>
      <c r="AO82" s="796"/>
    </row>
    <row r="83" spans="1:41" ht="22.8">
      <c r="A83" s="809">
        <v>2</v>
      </c>
      <c r="B83" s="874" t="b">
        <v>1</v>
      </c>
      <c r="C83" s="874" t="s">
        <v>1550</v>
      </c>
      <c r="D83" s="874"/>
      <c r="E83" s="874"/>
      <c r="F83" s="874"/>
      <c r="G83" s="874"/>
      <c r="H83" s="874"/>
      <c r="I83" s="874"/>
      <c r="J83" s="874"/>
      <c r="K83" s="874"/>
      <c r="L83" s="258" t="s">
        <v>569</v>
      </c>
      <c r="M83" s="260" t="s">
        <v>435</v>
      </c>
      <c r="N83" s="255" t="s">
        <v>352</v>
      </c>
      <c r="O83" s="887"/>
      <c r="P83" s="887"/>
      <c r="Q83" s="887"/>
      <c r="R83" s="887"/>
      <c r="S83" s="887"/>
      <c r="T83" s="887"/>
      <c r="U83" s="887"/>
      <c r="V83" s="887"/>
      <c r="W83" s="887"/>
      <c r="X83" s="887"/>
      <c r="Y83" s="887"/>
      <c r="Z83" s="887"/>
      <c r="AA83" s="887"/>
      <c r="AB83" s="887"/>
      <c r="AC83" s="887"/>
      <c r="AD83" s="887"/>
      <c r="AE83" s="887"/>
      <c r="AF83" s="887"/>
      <c r="AG83" s="887"/>
      <c r="AH83" s="887"/>
      <c r="AI83" s="887"/>
      <c r="AJ83" s="887"/>
      <c r="AK83" s="887"/>
      <c r="AL83" s="887"/>
      <c r="AM83" s="887"/>
      <c r="AN83" s="887"/>
      <c r="AO83" s="796"/>
    </row>
    <row r="84" spans="1:41">
      <c r="A84" s="809">
        <v>2</v>
      </c>
      <c r="B84" s="874" t="b">
        <v>1</v>
      </c>
      <c r="C84" s="874" t="s">
        <v>1552</v>
      </c>
      <c r="D84" s="874"/>
      <c r="E84" s="874"/>
      <c r="F84" s="874"/>
      <c r="G84" s="874"/>
      <c r="H84" s="874"/>
      <c r="I84" s="874"/>
      <c r="J84" s="874"/>
      <c r="K84" s="874"/>
      <c r="L84" s="258" t="s">
        <v>571</v>
      </c>
      <c r="M84" s="260" t="s">
        <v>436</v>
      </c>
      <c r="N84" s="255" t="s">
        <v>352</v>
      </c>
      <c r="O84" s="887"/>
      <c r="P84" s="887"/>
      <c r="Q84" s="887"/>
      <c r="R84" s="887"/>
      <c r="S84" s="887"/>
      <c r="T84" s="887"/>
      <c r="U84" s="887"/>
      <c r="V84" s="887"/>
      <c r="W84" s="887"/>
      <c r="X84" s="887"/>
      <c r="Y84" s="887"/>
      <c r="Z84" s="887"/>
      <c r="AA84" s="887"/>
      <c r="AB84" s="887"/>
      <c r="AC84" s="887"/>
      <c r="AD84" s="887"/>
      <c r="AE84" s="887"/>
      <c r="AF84" s="887"/>
      <c r="AG84" s="887"/>
      <c r="AH84" s="887"/>
      <c r="AI84" s="887"/>
      <c r="AJ84" s="887"/>
      <c r="AK84" s="887"/>
      <c r="AL84" s="887"/>
      <c r="AM84" s="887"/>
      <c r="AN84" s="887"/>
      <c r="AO84" s="796"/>
    </row>
    <row r="85" spans="1:41" s="263" customFormat="1" ht="22.8">
      <c r="A85" s="809">
        <v>2</v>
      </c>
      <c r="B85" s="874" t="b">
        <v>1</v>
      </c>
      <c r="C85" s="874" t="s">
        <v>1438</v>
      </c>
      <c r="D85" s="884"/>
      <c r="E85" s="884"/>
      <c r="F85" s="884"/>
      <c r="G85" s="884"/>
      <c r="H85" s="884"/>
      <c r="I85" s="884"/>
      <c r="J85" s="884"/>
      <c r="K85" s="884"/>
      <c r="L85" s="261" t="s">
        <v>102</v>
      </c>
      <c r="M85" s="257" t="s">
        <v>437</v>
      </c>
      <c r="N85" s="262" t="s">
        <v>352</v>
      </c>
      <c r="O85" s="885">
        <v>0</v>
      </c>
      <c r="P85" s="885">
        <v>0</v>
      </c>
      <c r="Q85" s="885">
        <v>0</v>
      </c>
      <c r="R85" s="885">
        <v>0</v>
      </c>
      <c r="S85" s="885">
        <v>0</v>
      </c>
      <c r="T85" s="885">
        <v>0</v>
      </c>
      <c r="U85" s="885">
        <v>0</v>
      </c>
      <c r="V85" s="885">
        <v>0</v>
      </c>
      <c r="W85" s="885">
        <v>0</v>
      </c>
      <c r="X85" s="885">
        <v>0</v>
      </c>
      <c r="Y85" s="885">
        <v>0</v>
      </c>
      <c r="Z85" s="885">
        <v>0</v>
      </c>
      <c r="AA85" s="885">
        <v>0</v>
      </c>
      <c r="AB85" s="885">
        <v>0</v>
      </c>
      <c r="AC85" s="885">
        <v>0</v>
      </c>
      <c r="AD85" s="885">
        <v>0</v>
      </c>
      <c r="AE85" s="885">
        <v>0</v>
      </c>
      <c r="AF85" s="885">
        <v>0</v>
      </c>
      <c r="AG85" s="885">
        <v>0</v>
      </c>
      <c r="AH85" s="885">
        <v>0</v>
      </c>
      <c r="AI85" s="885">
        <v>0</v>
      </c>
      <c r="AJ85" s="885">
        <v>0</v>
      </c>
      <c r="AK85" s="885">
        <v>0</v>
      </c>
      <c r="AL85" s="885">
        <v>0</v>
      </c>
      <c r="AM85" s="885">
        <v>0</v>
      </c>
      <c r="AN85" s="885">
        <v>0</v>
      </c>
      <c r="AO85" s="796"/>
    </row>
    <row r="86" spans="1:41">
      <c r="A86" s="809">
        <v>2</v>
      </c>
      <c r="B86" s="874" t="b">
        <v>1</v>
      </c>
      <c r="C86" s="874" t="s">
        <v>1439</v>
      </c>
      <c r="D86" s="874"/>
      <c r="E86" s="874"/>
      <c r="F86" s="874"/>
      <c r="G86" s="874"/>
      <c r="H86" s="874"/>
      <c r="I86" s="874"/>
      <c r="J86" s="874"/>
      <c r="K86" s="874"/>
      <c r="L86" s="258" t="s">
        <v>17</v>
      </c>
      <c r="M86" s="259" t="s">
        <v>1161</v>
      </c>
      <c r="N86" s="255" t="s">
        <v>352</v>
      </c>
      <c r="O86" s="887"/>
      <c r="P86" s="887"/>
      <c r="Q86" s="887"/>
      <c r="R86" s="887"/>
      <c r="S86" s="887"/>
      <c r="T86" s="887"/>
      <c r="U86" s="887"/>
      <c r="V86" s="887"/>
      <c r="W86" s="887"/>
      <c r="X86" s="887"/>
      <c r="Y86" s="887"/>
      <c r="Z86" s="887"/>
      <c r="AA86" s="887"/>
      <c r="AB86" s="887"/>
      <c r="AC86" s="887"/>
      <c r="AD86" s="887"/>
      <c r="AE86" s="887"/>
      <c r="AF86" s="887"/>
      <c r="AG86" s="887"/>
      <c r="AH86" s="887"/>
      <c r="AI86" s="887"/>
      <c r="AJ86" s="887"/>
      <c r="AK86" s="887"/>
      <c r="AL86" s="887"/>
      <c r="AM86" s="887"/>
      <c r="AN86" s="887"/>
      <c r="AO86" s="796"/>
    </row>
    <row r="87" spans="1:41">
      <c r="A87" s="809">
        <v>2</v>
      </c>
      <c r="B87" s="874" t="b">
        <v>1</v>
      </c>
      <c r="C87" s="874" t="s">
        <v>1576</v>
      </c>
      <c r="D87" s="874"/>
      <c r="E87" s="874"/>
      <c r="F87" s="874"/>
      <c r="G87" s="874"/>
      <c r="H87" s="874"/>
      <c r="I87" s="874"/>
      <c r="J87" s="874"/>
      <c r="K87" s="874"/>
      <c r="L87" s="258" t="s">
        <v>138</v>
      </c>
      <c r="M87" s="259" t="s">
        <v>1162</v>
      </c>
      <c r="N87" s="255" t="s">
        <v>352</v>
      </c>
      <c r="O87" s="887"/>
      <c r="P87" s="887"/>
      <c r="Q87" s="887"/>
      <c r="R87" s="887"/>
      <c r="S87" s="887"/>
      <c r="T87" s="887"/>
      <c r="U87" s="887"/>
      <c r="V87" s="887"/>
      <c r="W87" s="887"/>
      <c r="X87" s="887"/>
      <c r="Y87" s="887"/>
      <c r="Z87" s="887"/>
      <c r="AA87" s="887"/>
      <c r="AB87" s="887"/>
      <c r="AC87" s="887"/>
      <c r="AD87" s="887"/>
      <c r="AE87" s="887"/>
      <c r="AF87" s="887"/>
      <c r="AG87" s="887"/>
      <c r="AH87" s="887"/>
      <c r="AI87" s="887"/>
      <c r="AJ87" s="887"/>
      <c r="AK87" s="887"/>
      <c r="AL87" s="887"/>
      <c r="AM87" s="887"/>
      <c r="AN87" s="887"/>
      <c r="AO87" s="796"/>
    </row>
    <row r="88" spans="1:41">
      <c r="A88" s="809">
        <v>2</v>
      </c>
      <c r="B88" s="874" t="b">
        <v>1</v>
      </c>
      <c r="C88" s="874" t="s">
        <v>1577</v>
      </c>
      <c r="D88" s="874"/>
      <c r="E88" s="874"/>
      <c r="F88" s="874"/>
      <c r="G88" s="874"/>
      <c r="H88" s="874"/>
      <c r="I88" s="874"/>
      <c r="J88" s="874"/>
      <c r="K88" s="874"/>
      <c r="L88" s="258" t="s">
        <v>151</v>
      </c>
      <c r="M88" s="259" t="s">
        <v>438</v>
      </c>
      <c r="N88" s="255" t="s">
        <v>352</v>
      </c>
      <c r="O88" s="887"/>
      <c r="P88" s="887"/>
      <c r="Q88" s="887"/>
      <c r="R88" s="887"/>
      <c r="S88" s="887"/>
      <c r="T88" s="887"/>
      <c r="U88" s="887"/>
      <c r="V88" s="887"/>
      <c r="W88" s="887"/>
      <c r="X88" s="887"/>
      <c r="Y88" s="887"/>
      <c r="Z88" s="887"/>
      <c r="AA88" s="887"/>
      <c r="AB88" s="887"/>
      <c r="AC88" s="887"/>
      <c r="AD88" s="887"/>
      <c r="AE88" s="887"/>
      <c r="AF88" s="887"/>
      <c r="AG88" s="887"/>
      <c r="AH88" s="887"/>
      <c r="AI88" s="887"/>
      <c r="AJ88" s="887"/>
      <c r="AK88" s="887"/>
      <c r="AL88" s="887"/>
      <c r="AM88" s="887"/>
      <c r="AN88" s="887"/>
      <c r="AO88" s="796"/>
    </row>
    <row r="89" spans="1:41" ht="21" customHeight="1">
      <c r="A89" s="874"/>
      <c r="B89" s="874"/>
      <c r="C89" s="874"/>
      <c r="D89" s="874"/>
      <c r="E89" s="874"/>
      <c r="F89" s="874"/>
      <c r="G89" s="874"/>
      <c r="H89" s="874"/>
      <c r="I89" s="874"/>
      <c r="J89" s="874"/>
      <c r="K89" s="874"/>
      <c r="L89" s="874"/>
      <c r="M89" s="890" t="s">
        <v>1329</v>
      </c>
      <c r="N89" s="874"/>
      <c r="O89" s="874"/>
      <c r="P89" s="874"/>
      <c r="Q89" s="874"/>
      <c r="R89" s="874"/>
      <c r="S89" s="874"/>
      <c r="T89" s="874"/>
      <c r="U89" s="874"/>
      <c r="V89" s="874"/>
      <c r="W89" s="874"/>
      <c r="X89" s="874"/>
      <c r="Y89" s="874"/>
      <c r="Z89" s="874"/>
      <c r="AA89" s="874"/>
      <c r="AB89" s="874"/>
      <c r="AC89" s="874"/>
      <c r="AD89" s="874"/>
      <c r="AE89" s="874"/>
      <c r="AF89" s="874"/>
      <c r="AG89" s="874"/>
      <c r="AH89" s="874"/>
      <c r="AI89" s="874"/>
      <c r="AJ89" s="874"/>
      <c r="AK89" s="874"/>
      <c r="AL89" s="874"/>
      <c r="AM89" s="874"/>
      <c r="AN89" s="874"/>
      <c r="AO89" s="874"/>
    </row>
    <row r="90" spans="1:41" ht="15" customHeight="1">
      <c r="A90" s="874"/>
      <c r="B90" s="874"/>
      <c r="C90" s="874"/>
      <c r="D90" s="874"/>
      <c r="E90" s="874"/>
      <c r="F90" s="874"/>
      <c r="G90" s="874"/>
      <c r="H90" s="874"/>
      <c r="I90" s="874"/>
      <c r="J90" s="874"/>
      <c r="K90" s="874"/>
      <c r="L90" s="1137" t="s">
        <v>1367</v>
      </c>
      <c r="M90" s="1138"/>
      <c r="N90" s="1138"/>
      <c r="O90" s="1138"/>
      <c r="P90" s="1138"/>
      <c r="Q90" s="1138"/>
      <c r="R90" s="1138"/>
      <c r="S90" s="1138"/>
      <c r="T90" s="1138"/>
      <c r="U90" s="1138"/>
      <c r="V90" s="1138"/>
      <c r="W90" s="1138"/>
      <c r="X90" s="1138"/>
      <c r="Y90" s="1138"/>
      <c r="Z90" s="1138"/>
      <c r="AA90" s="1138"/>
      <c r="AB90" s="1138"/>
      <c r="AC90" s="1138"/>
      <c r="AD90" s="1138"/>
      <c r="AE90" s="1138"/>
      <c r="AF90" s="1138"/>
      <c r="AG90" s="1138"/>
      <c r="AH90" s="1138"/>
      <c r="AI90" s="1138"/>
      <c r="AJ90" s="1138"/>
      <c r="AK90" s="1138"/>
      <c r="AL90" s="1138"/>
      <c r="AM90" s="1138"/>
      <c r="AN90" s="1138"/>
      <c r="AO90" s="1138"/>
    </row>
    <row r="91" spans="1:41" ht="15" customHeight="1">
      <c r="A91" s="874"/>
      <c r="B91" s="874"/>
      <c r="C91" s="874"/>
      <c r="D91" s="874"/>
      <c r="E91" s="874"/>
      <c r="F91" s="874"/>
      <c r="G91" s="874"/>
      <c r="H91" s="874"/>
      <c r="I91" s="874"/>
      <c r="J91" s="874"/>
      <c r="K91" s="662"/>
      <c r="L91" s="1139"/>
      <c r="M91" s="1139"/>
      <c r="N91" s="1139"/>
      <c r="O91" s="1139"/>
      <c r="P91" s="1139"/>
      <c r="Q91" s="1139"/>
      <c r="R91" s="1139"/>
      <c r="S91" s="1139"/>
      <c r="T91" s="1139"/>
      <c r="U91" s="1139"/>
      <c r="V91" s="1139"/>
      <c r="W91" s="1139"/>
      <c r="X91" s="1139"/>
      <c r="Y91" s="1139"/>
      <c r="Z91" s="1139"/>
      <c r="AA91" s="1139"/>
      <c r="AB91" s="1139"/>
      <c r="AC91" s="1139"/>
      <c r="AD91" s="1139"/>
      <c r="AE91" s="1139"/>
      <c r="AF91" s="1139"/>
      <c r="AG91" s="1139"/>
      <c r="AH91" s="1139"/>
      <c r="AI91" s="1139"/>
      <c r="AJ91" s="1139"/>
      <c r="AK91" s="1139"/>
      <c r="AL91" s="1139"/>
      <c r="AM91" s="1139"/>
      <c r="AN91" s="1139"/>
      <c r="AO91" s="1139"/>
    </row>
    <row r="92" spans="1:41">
      <c r="A92" s="874"/>
      <c r="B92" s="874"/>
      <c r="C92" s="874"/>
      <c r="D92" s="874"/>
      <c r="E92" s="874"/>
      <c r="F92" s="874"/>
      <c r="G92" s="874"/>
      <c r="H92" s="874"/>
      <c r="I92" s="874"/>
      <c r="J92" s="874"/>
      <c r="K92" s="874"/>
      <c r="L92" s="874"/>
      <c r="M92" s="874"/>
      <c r="N92" s="874"/>
      <c r="O92" s="874"/>
      <c r="P92" s="874"/>
      <c r="Q92" s="874"/>
      <c r="R92" s="874"/>
      <c r="S92" s="874"/>
      <c r="T92" s="874"/>
      <c r="U92" s="874"/>
      <c r="V92" s="874"/>
      <c r="W92" s="874"/>
      <c r="X92" s="874"/>
      <c r="Y92" s="874"/>
      <c r="Z92" s="874"/>
      <c r="AA92" s="874"/>
      <c r="AB92" s="874"/>
      <c r="AC92" s="874"/>
      <c r="AD92" s="874"/>
      <c r="AE92" s="874"/>
      <c r="AF92" s="891"/>
      <c r="AG92" s="891"/>
      <c r="AH92" s="891"/>
      <c r="AI92" s="891"/>
      <c r="AJ92" s="891"/>
      <c r="AK92" s="891"/>
      <c r="AL92" s="891"/>
      <c r="AM92" s="891"/>
      <c r="AN92" s="891"/>
      <c r="AO92" s="874"/>
    </row>
  </sheetData>
  <sheetProtection formatColumns="0" formatRows="0" autoFilter="0"/>
  <mergeCells count="7">
    <mergeCell ref="L14:M14"/>
    <mergeCell ref="AO16:AO17"/>
    <mergeCell ref="L90:AO90"/>
    <mergeCell ref="L91:AO91"/>
    <mergeCell ref="L16:L17"/>
    <mergeCell ref="M16:M17"/>
    <mergeCell ref="N16:N17"/>
  </mergeCells>
  <dataValidations count="3">
    <dataValidation type="list" allowBlank="1" showInputMessage="1" showErrorMessage="1" errorTitle="Внимание" error="Пожалуйста, выберите значение из списка!" sqref="N14">
      <formula1>YES_NO</formula1>
    </dataValidation>
    <dataValidation type="textLength" operator="lessThanOrEqual" allowBlank="1" showInputMessage="1" showErrorMessage="1" errorTitle="Ошибка" error="Допускается ввод не более 900 символов!" sqref="AO18:AO40 AO42:AO64 AO66:AO88">
      <formula1>900</formula1>
    </dataValidation>
    <dataValidation type="decimal" allowBlank="1" showErrorMessage="1" errorTitle="Ошибка" error="Допускается ввод только действительных чисел!" sqref="O20:AN23 O25:AN27 O33:AN36 O29:AN31 O38:AN40 O44:AN47 O49:AN51 O57:AN60 O53:AN55 O62:AN64 O68:AN71 O86:AN88 O81:AN84 O77:AN79 O73:AN75">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summaryRight="0"/>
  </sheetPr>
  <dimension ref="A1:AI34"/>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25" defaultRowHeight="11.4"/>
  <cols>
    <col min="1" max="10" width="0" style="101" hidden="1" customWidth="1"/>
    <col min="11" max="11" width="3.75" style="101" hidden="1" customWidth="1"/>
    <col min="12" max="12" width="6.75" style="101" customWidth="1"/>
    <col min="13" max="13" width="50.75" style="101" customWidth="1"/>
    <col min="14" max="14" width="10.75" style="101" customWidth="1"/>
    <col min="15" max="15" width="13.25" style="101" customWidth="1"/>
    <col min="16" max="24" width="13.25" style="101" hidden="1" customWidth="1"/>
    <col min="25" max="25" width="13.25" style="101" customWidth="1"/>
    <col min="26" max="34" width="13.25" style="101" hidden="1" customWidth="1"/>
    <col min="35" max="35" width="20.75" style="101" customWidth="1"/>
    <col min="36" max="16384" width="9.125" style="101"/>
  </cols>
  <sheetData>
    <row r="1" spans="1:35" hidden="1">
      <c r="A1" s="874"/>
      <c r="B1" s="874"/>
      <c r="C1" s="874"/>
      <c r="D1" s="874"/>
      <c r="E1" s="874"/>
      <c r="F1" s="874"/>
      <c r="G1" s="874"/>
      <c r="H1" s="874"/>
      <c r="I1" s="874"/>
      <c r="J1" s="874"/>
      <c r="K1" s="874"/>
      <c r="L1" s="874"/>
      <c r="M1" s="874"/>
      <c r="N1" s="874"/>
      <c r="O1" s="781">
        <v>2024</v>
      </c>
      <c r="P1" s="781">
        <v>2025</v>
      </c>
      <c r="Q1" s="781">
        <v>2026</v>
      </c>
      <c r="R1" s="781">
        <v>2027</v>
      </c>
      <c r="S1" s="781">
        <v>2028</v>
      </c>
      <c r="T1" s="781">
        <v>2029</v>
      </c>
      <c r="U1" s="781">
        <v>2030</v>
      </c>
      <c r="V1" s="781">
        <v>2031</v>
      </c>
      <c r="W1" s="781">
        <v>2032</v>
      </c>
      <c r="X1" s="781">
        <v>2033</v>
      </c>
      <c r="Y1" s="781">
        <v>2024</v>
      </c>
      <c r="Z1" s="781">
        <v>2025</v>
      </c>
      <c r="AA1" s="781">
        <v>2026</v>
      </c>
      <c r="AB1" s="781">
        <v>2027</v>
      </c>
      <c r="AC1" s="781">
        <v>2028</v>
      </c>
      <c r="AD1" s="781">
        <v>2029</v>
      </c>
      <c r="AE1" s="781">
        <v>2030</v>
      </c>
      <c r="AF1" s="781">
        <v>2031</v>
      </c>
      <c r="AG1" s="781">
        <v>2032</v>
      </c>
      <c r="AH1" s="781">
        <v>2033</v>
      </c>
      <c r="AI1" s="874"/>
    </row>
    <row r="2" spans="1:35" hidden="1">
      <c r="A2" s="874"/>
      <c r="B2" s="874"/>
      <c r="C2" s="874"/>
      <c r="D2" s="874"/>
      <c r="E2" s="874"/>
      <c r="F2" s="874"/>
      <c r="G2" s="874"/>
      <c r="H2" s="874"/>
      <c r="I2" s="874"/>
      <c r="J2" s="874"/>
      <c r="K2" s="874"/>
      <c r="L2" s="874"/>
      <c r="M2" s="874"/>
      <c r="N2" s="874"/>
      <c r="O2" s="781" t="s">
        <v>439</v>
      </c>
      <c r="P2" s="781" t="s">
        <v>439</v>
      </c>
      <c r="Q2" s="781" t="s">
        <v>439</v>
      </c>
      <c r="R2" s="781" t="s">
        <v>439</v>
      </c>
      <c r="S2" s="781" t="s">
        <v>439</v>
      </c>
      <c r="T2" s="781" t="s">
        <v>439</v>
      </c>
      <c r="U2" s="781" t="s">
        <v>439</v>
      </c>
      <c r="V2" s="781" t="s">
        <v>439</v>
      </c>
      <c r="W2" s="781" t="s">
        <v>439</v>
      </c>
      <c r="X2" s="781" t="s">
        <v>439</v>
      </c>
      <c r="Y2" s="781" t="s">
        <v>268</v>
      </c>
      <c r="Z2" s="781" t="s">
        <v>268</v>
      </c>
      <c r="AA2" s="781" t="s">
        <v>268</v>
      </c>
      <c r="AB2" s="781" t="s">
        <v>268</v>
      </c>
      <c r="AC2" s="781" t="s">
        <v>268</v>
      </c>
      <c r="AD2" s="781" t="s">
        <v>268</v>
      </c>
      <c r="AE2" s="781" t="s">
        <v>268</v>
      </c>
      <c r="AF2" s="781" t="s">
        <v>268</v>
      </c>
      <c r="AG2" s="781" t="s">
        <v>268</v>
      </c>
      <c r="AH2" s="781" t="s">
        <v>268</v>
      </c>
      <c r="AI2" s="874"/>
    </row>
    <row r="3" spans="1:35" hidden="1">
      <c r="A3" s="874"/>
      <c r="B3" s="874"/>
      <c r="C3" s="874"/>
      <c r="D3" s="874"/>
      <c r="E3" s="874"/>
      <c r="F3" s="874"/>
      <c r="G3" s="874"/>
      <c r="H3" s="874"/>
      <c r="I3" s="874"/>
      <c r="J3" s="874"/>
      <c r="K3" s="874"/>
      <c r="L3" s="874"/>
      <c r="M3" s="874"/>
      <c r="N3" s="874"/>
      <c r="O3" s="781"/>
      <c r="P3" s="781"/>
      <c r="Q3" s="781"/>
      <c r="R3" s="781"/>
      <c r="S3" s="781"/>
      <c r="T3" s="781"/>
      <c r="U3" s="781"/>
      <c r="V3" s="781"/>
      <c r="W3" s="781"/>
      <c r="X3" s="781"/>
      <c r="Y3" s="781"/>
      <c r="Z3" s="781"/>
      <c r="AA3" s="781"/>
      <c r="AB3" s="781"/>
      <c r="AC3" s="781"/>
      <c r="AD3" s="781"/>
      <c r="AE3" s="781"/>
      <c r="AF3" s="781"/>
      <c r="AG3" s="781"/>
      <c r="AH3" s="781"/>
      <c r="AI3" s="874"/>
    </row>
    <row r="4" spans="1:35" hidden="1">
      <c r="A4" s="874"/>
      <c r="B4" s="874"/>
      <c r="C4" s="874"/>
      <c r="D4" s="874"/>
      <c r="E4" s="874"/>
      <c r="F4" s="874"/>
      <c r="G4" s="874"/>
      <c r="H4" s="874"/>
      <c r="I4" s="874"/>
      <c r="J4" s="874"/>
      <c r="K4" s="874"/>
      <c r="L4" s="874"/>
      <c r="M4" s="874"/>
      <c r="N4" s="874"/>
      <c r="O4" s="781"/>
      <c r="P4" s="781"/>
      <c r="Q4" s="781"/>
      <c r="R4" s="781"/>
      <c r="S4" s="781"/>
      <c r="T4" s="781"/>
      <c r="U4" s="781"/>
      <c r="V4" s="781"/>
      <c r="W4" s="781"/>
      <c r="X4" s="781"/>
      <c r="Y4" s="781"/>
      <c r="Z4" s="781"/>
      <c r="AA4" s="781"/>
      <c r="AB4" s="781"/>
      <c r="AC4" s="781"/>
      <c r="AD4" s="781"/>
      <c r="AE4" s="781"/>
      <c r="AF4" s="781"/>
      <c r="AG4" s="781"/>
      <c r="AH4" s="781"/>
      <c r="AI4" s="874"/>
    </row>
    <row r="5" spans="1:35" hidden="1">
      <c r="A5" s="874"/>
      <c r="B5" s="874"/>
      <c r="C5" s="874"/>
      <c r="D5" s="874"/>
      <c r="E5" s="874"/>
      <c r="F5" s="874"/>
      <c r="G5" s="874"/>
      <c r="H5" s="874"/>
      <c r="I5" s="874"/>
      <c r="J5" s="874"/>
      <c r="K5" s="874"/>
      <c r="L5" s="874"/>
      <c r="M5" s="874"/>
      <c r="N5" s="874"/>
      <c r="O5" s="781"/>
      <c r="P5" s="781"/>
      <c r="Q5" s="781"/>
      <c r="R5" s="781"/>
      <c r="S5" s="781"/>
      <c r="T5" s="781"/>
      <c r="U5" s="781"/>
      <c r="V5" s="781"/>
      <c r="W5" s="781"/>
      <c r="X5" s="781"/>
      <c r="Y5" s="781"/>
      <c r="Z5" s="781"/>
      <c r="AA5" s="781"/>
      <c r="AB5" s="781"/>
      <c r="AC5" s="781"/>
      <c r="AD5" s="781"/>
      <c r="AE5" s="781"/>
      <c r="AF5" s="781"/>
      <c r="AG5" s="781"/>
      <c r="AH5" s="781"/>
      <c r="AI5" s="874"/>
    </row>
    <row r="6" spans="1:35" hidden="1">
      <c r="A6" s="874"/>
      <c r="B6" s="874"/>
      <c r="C6" s="874"/>
      <c r="D6" s="874"/>
      <c r="E6" s="874"/>
      <c r="F6" s="874"/>
      <c r="G6" s="874"/>
      <c r="H6" s="874"/>
      <c r="I6" s="874"/>
      <c r="J6" s="874"/>
      <c r="K6" s="874"/>
      <c r="L6" s="874"/>
      <c r="M6" s="874"/>
      <c r="N6" s="874"/>
      <c r="O6" s="781"/>
      <c r="P6" s="781"/>
      <c r="Q6" s="781"/>
      <c r="R6" s="781"/>
      <c r="S6" s="781"/>
      <c r="T6" s="781"/>
      <c r="U6" s="781"/>
      <c r="V6" s="781"/>
      <c r="W6" s="781"/>
      <c r="X6" s="781"/>
      <c r="Y6" s="781"/>
      <c r="Z6" s="781"/>
      <c r="AA6" s="781"/>
      <c r="AB6" s="781"/>
      <c r="AC6" s="781"/>
      <c r="AD6" s="781"/>
      <c r="AE6" s="781"/>
      <c r="AF6" s="781"/>
      <c r="AG6" s="781"/>
      <c r="AH6" s="781"/>
      <c r="AI6" s="874"/>
    </row>
    <row r="7" spans="1:35" hidden="1">
      <c r="A7" s="874"/>
      <c r="B7" s="874"/>
      <c r="C7" s="874"/>
      <c r="D7" s="874"/>
      <c r="E7" s="874"/>
      <c r="F7" s="874"/>
      <c r="G7" s="874"/>
      <c r="H7" s="874"/>
      <c r="I7" s="874"/>
      <c r="J7" s="874"/>
      <c r="K7" s="874"/>
      <c r="L7" s="874"/>
      <c r="M7" s="874"/>
      <c r="N7" s="874"/>
      <c r="O7" s="731" t="b">
        <v>1</v>
      </c>
      <c r="P7" s="731" t="b">
        <v>0</v>
      </c>
      <c r="Q7" s="731" t="b">
        <v>0</v>
      </c>
      <c r="R7" s="731" t="b">
        <v>0</v>
      </c>
      <c r="S7" s="731" t="b">
        <v>0</v>
      </c>
      <c r="T7" s="731" t="b">
        <v>0</v>
      </c>
      <c r="U7" s="731" t="b">
        <v>0</v>
      </c>
      <c r="V7" s="731" t="b">
        <v>0</v>
      </c>
      <c r="W7" s="731" t="b">
        <v>0</v>
      </c>
      <c r="X7" s="731" t="b">
        <v>0</v>
      </c>
      <c r="Y7" s="731" t="b">
        <v>1</v>
      </c>
      <c r="Z7" s="731" t="b">
        <v>0</v>
      </c>
      <c r="AA7" s="731" t="b">
        <v>0</v>
      </c>
      <c r="AB7" s="731" t="b">
        <v>0</v>
      </c>
      <c r="AC7" s="731" t="b">
        <v>0</v>
      </c>
      <c r="AD7" s="731" t="b">
        <v>0</v>
      </c>
      <c r="AE7" s="731" t="b">
        <v>0</v>
      </c>
      <c r="AF7" s="731" t="b">
        <v>0</v>
      </c>
      <c r="AG7" s="731" t="b">
        <v>0</v>
      </c>
      <c r="AH7" s="731" t="b">
        <v>0</v>
      </c>
      <c r="AI7" s="874"/>
    </row>
    <row r="8" spans="1:35" hidden="1">
      <c r="A8" s="874"/>
      <c r="B8" s="874"/>
      <c r="C8" s="874"/>
      <c r="D8" s="874"/>
      <c r="E8" s="874"/>
      <c r="F8" s="874"/>
      <c r="G8" s="874"/>
      <c r="H8" s="874"/>
      <c r="I8" s="874"/>
      <c r="J8" s="874"/>
      <c r="K8" s="874"/>
      <c r="L8" s="874"/>
      <c r="M8" s="874"/>
      <c r="N8" s="874"/>
      <c r="O8" s="874"/>
      <c r="P8" s="874"/>
      <c r="Q8" s="874"/>
      <c r="R8" s="874"/>
      <c r="S8" s="874"/>
      <c r="T8" s="874"/>
      <c r="U8" s="874"/>
      <c r="V8" s="874"/>
      <c r="W8" s="874"/>
      <c r="X8" s="874"/>
      <c r="Y8" s="874"/>
      <c r="Z8" s="874"/>
      <c r="AA8" s="874"/>
      <c r="AB8" s="874"/>
      <c r="AC8" s="874"/>
      <c r="AD8" s="874"/>
      <c r="AE8" s="874"/>
      <c r="AF8" s="874"/>
      <c r="AG8" s="874"/>
      <c r="AH8" s="874"/>
      <c r="AI8" s="874"/>
    </row>
    <row r="9" spans="1:35" hidden="1">
      <c r="A9" s="874"/>
      <c r="B9" s="874"/>
      <c r="C9" s="874"/>
      <c r="D9" s="874"/>
      <c r="E9" s="874"/>
      <c r="F9" s="874"/>
      <c r="G9" s="874"/>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row>
    <row r="10" spans="1:35" hidden="1">
      <c r="A10" s="874"/>
      <c r="B10" s="874"/>
      <c r="C10" s="874"/>
      <c r="D10" s="874"/>
      <c r="E10" s="874"/>
      <c r="F10" s="874"/>
      <c r="G10" s="874"/>
      <c r="H10" s="874"/>
      <c r="I10" s="874"/>
      <c r="J10" s="874"/>
      <c r="K10" s="874"/>
      <c r="L10" s="874"/>
      <c r="M10" s="874"/>
      <c r="N10" s="874"/>
      <c r="O10" s="874"/>
      <c r="P10" s="874"/>
      <c r="Q10" s="874"/>
      <c r="R10" s="874"/>
      <c r="S10" s="874"/>
      <c r="T10" s="874"/>
      <c r="U10" s="874"/>
      <c r="V10" s="874"/>
      <c r="W10" s="874"/>
      <c r="X10" s="874"/>
      <c r="Y10" s="874"/>
      <c r="Z10" s="874"/>
      <c r="AA10" s="874"/>
      <c r="AB10" s="874"/>
      <c r="AC10" s="874"/>
      <c r="AD10" s="874"/>
      <c r="AE10" s="874"/>
      <c r="AF10" s="874"/>
      <c r="AG10" s="874"/>
      <c r="AH10" s="874"/>
      <c r="AI10" s="874"/>
    </row>
    <row r="11" spans="1:35" ht="15" hidden="1" customHeight="1">
      <c r="A11" s="874"/>
      <c r="B11" s="874"/>
      <c r="C11" s="874"/>
      <c r="D11" s="874"/>
      <c r="E11" s="874"/>
      <c r="F11" s="874"/>
      <c r="G11" s="874"/>
      <c r="H11" s="874"/>
      <c r="I11" s="874"/>
      <c r="J11" s="874"/>
      <c r="K11" s="874"/>
      <c r="L11" s="892"/>
      <c r="M11" s="893"/>
      <c r="N11" s="892"/>
      <c r="O11" s="892"/>
      <c r="P11" s="892"/>
      <c r="Q11" s="892"/>
      <c r="R11" s="892"/>
      <c r="S11" s="892"/>
      <c r="T11" s="892"/>
      <c r="U11" s="892"/>
      <c r="V11" s="892"/>
      <c r="W11" s="892"/>
      <c r="X11" s="892"/>
      <c r="Y11" s="892"/>
      <c r="Z11" s="892"/>
      <c r="AA11" s="892"/>
      <c r="AB11" s="892"/>
      <c r="AC11" s="892"/>
      <c r="AD11" s="892"/>
      <c r="AE11" s="892"/>
      <c r="AF11" s="892"/>
      <c r="AG11" s="892"/>
      <c r="AH11" s="892"/>
      <c r="AI11" s="874"/>
    </row>
    <row r="12" spans="1:35" ht="20.100000000000001" customHeight="1">
      <c r="A12" s="874"/>
      <c r="B12" s="874"/>
      <c r="C12" s="874"/>
      <c r="D12" s="874"/>
      <c r="E12" s="874"/>
      <c r="F12" s="874"/>
      <c r="G12" s="874"/>
      <c r="H12" s="874"/>
      <c r="I12" s="874"/>
      <c r="J12" s="874"/>
      <c r="K12" s="874"/>
      <c r="L12" s="419" t="s">
        <v>1251</v>
      </c>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row>
    <row r="13" spans="1:35" ht="11.25" customHeight="1">
      <c r="A13" s="874"/>
      <c r="B13" s="874"/>
      <c r="C13" s="874"/>
      <c r="D13" s="874"/>
      <c r="E13" s="874"/>
      <c r="F13" s="874"/>
      <c r="G13" s="874"/>
      <c r="H13" s="874"/>
      <c r="I13" s="874"/>
      <c r="J13" s="874"/>
      <c r="K13" s="874"/>
      <c r="L13" s="892"/>
      <c r="M13" s="892"/>
      <c r="N13" s="892"/>
      <c r="O13" s="892"/>
      <c r="P13" s="892"/>
      <c r="Q13" s="892"/>
      <c r="R13" s="892"/>
      <c r="S13" s="892"/>
      <c r="T13" s="892"/>
      <c r="U13" s="892"/>
      <c r="V13" s="892"/>
      <c r="W13" s="892"/>
      <c r="X13" s="892"/>
      <c r="Y13" s="892"/>
      <c r="Z13" s="892"/>
      <c r="AA13" s="892"/>
      <c r="AB13" s="892"/>
      <c r="AC13" s="892"/>
      <c r="AD13" s="892"/>
      <c r="AE13" s="892"/>
      <c r="AF13" s="892"/>
      <c r="AG13" s="892"/>
      <c r="AH13" s="892"/>
      <c r="AI13" s="874"/>
    </row>
    <row r="14" spans="1:35" ht="21.6" customHeight="1">
      <c r="A14" s="874"/>
      <c r="B14" s="874"/>
      <c r="C14" s="874"/>
      <c r="D14" s="874"/>
      <c r="E14" s="874"/>
      <c r="F14" s="874"/>
      <c r="G14" s="874"/>
      <c r="H14" s="874"/>
      <c r="I14" s="874"/>
      <c r="J14" s="874"/>
      <c r="K14" s="874"/>
      <c r="L14" s="1109" t="s">
        <v>16</v>
      </c>
      <c r="M14" s="1144" t="s">
        <v>134</v>
      </c>
      <c r="N14" s="1144" t="s">
        <v>135</v>
      </c>
      <c r="O14" s="747" t="s">
        <v>3012</v>
      </c>
      <c r="P14" s="747" t="s">
        <v>3046</v>
      </c>
      <c r="Q14" s="747" t="s">
        <v>3047</v>
      </c>
      <c r="R14" s="747" t="s">
        <v>3048</v>
      </c>
      <c r="S14" s="747" t="s">
        <v>3049</v>
      </c>
      <c r="T14" s="747" t="s">
        <v>3050</v>
      </c>
      <c r="U14" s="747" t="s">
        <v>3051</v>
      </c>
      <c r="V14" s="747" t="s">
        <v>3052</v>
      </c>
      <c r="W14" s="747" t="s">
        <v>3053</v>
      </c>
      <c r="X14" s="747" t="s">
        <v>3054</v>
      </c>
      <c r="Y14" s="747" t="s">
        <v>3012</v>
      </c>
      <c r="Z14" s="747" t="s">
        <v>3046</v>
      </c>
      <c r="AA14" s="747" t="s">
        <v>3047</v>
      </c>
      <c r="AB14" s="747" t="s">
        <v>3048</v>
      </c>
      <c r="AC14" s="747" t="s">
        <v>3049</v>
      </c>
      <c r="AD14" s="747" t="s">
        <v>3050</v>
      </c>
      <c r="AE14" s="747" t="s">
        <v>3051</v>
      </c>
      <c r="AF14" s="747" t="s">
        <v>3052</v>
      </c>
      <c r="AG14" s="747" t="s">
        <v>3053</v>
      </c>
      <c r="AH14" s="747" t="s">
        <v>3054</v>
      </c>
      <c r="AI14" s="1136" t="s">
        <v>305</v>
      </c>
    </row>
    <row r="15" spans="1:35" ht="57.75" customHeight="1">
      <c r="A15" s="874"/>
      <c r="B15" s="874"/>
      <c r="C15" s="874"/>
      <c r="D15" s="874"/>
      <c r="E15" s="874"/>
      <c r="F15" s="874"/>
      <c r="G15" s="874"/>
      <c r="H15" s="874"/>
      <c r="I15" s="874"/>
      <c r="J15" s="874"/>
      <c r="K15" s="874"/>
      <c r="L15" s="1109"/>
      <c r="M15" s="1144"/>
      <c r="N15" s="1144"/>
      <c r="O15" s="878" t="s">
        <v>439</v>
      </c>
      <c r="P15" s="878" t="s">
        <v>439</v>
      </c>
      <c r="Q15" s="878" t="s">
        <v>439</v>
      </c>
      <c r="R15" s="878" t="s">
        <v>439</v>
      </c>
      <c r="S15" s="878" t="s">
        <v>439</v>
      </c>
      <c r="T15" s="878" t="s">
        <v>439</v>
      </c>
      <c r="U15" s="878" t="s">
        <v>439</v>
      </c>
      <c r="V15" s="878" t="s">
        <v>439</v>
      </c>
      <c r="W15" s="878" t="s">
        <v>439</v>
      </c>
      <c r="X15" s="878" t="s">
        <v>439</v>
      </c>
      <c r="Y15" s="878" t="s">
        <v>268</v>
      </c>
      <c r="Z15" s="878" t="s">
        <v>268</v>
      </c>
      <c r="AA15" s="878" t="s">
        <v>268</v>
      </c>
      <c r="AB15" s="878" t="s">
        <v>268</v>
      </c>
      <c r="AC15" s="878" t="s">
        <v>268</v>
      </c>
      <c r="AD15" s="878" t="s">
        <v>268</v>
      </c>
      <c r="AE15" s="878" t="s">
        <v>268</v>
      </c>
      <c r="AF15" s="878" t="s">
        <v>268</v>
      </c>
      <c r="AG15" s="878" t="s">
        <v>268</v>
      </c>
      <c r="AH15" s="878" t="s">
        <v>268</v>
      </c>
      <c r="AI15" s="1136"/>
    </row>
    <row r="16" spans="1:35" s="80" customFormat="1">
      <c r="A16" s="788" t="s">
        <v>18</v>
      </c>
      <c r="B16" s="774"/>
      <c r="C16" s="774"/>
      <c r="D16" s="774"/>
      <c r="E16" s="774"/>
      <c r="F16" s="774"/>
      <c r="G16" s="774"/>
      <c r="H16" s="774"/>
      <c r="I16" s="774"/>
      <c r="J16" s="774"/>
      <c r="K16" s="774"/>
      <c r="L16" s="888" t="s">
        <v>3005</v>
      </c>
      <c r="M16" s="889"/>
      <c r="N16" s="889"/>
      <c r="O16" s="889"/>
      <c r="P16" s="889"/>
      <c r="Q16" s="889"/>
      <c r="R16" s="889"/>
      <c r="S16" s="889"/>
      <c r="T16" s="889"/>
      <c r="U16" s="889"/>
      <c r="V16" s="889"/>
      <c r="W16" s="889"/>
      <c r="X16" s="889"/>
      <c r="Y16" s="889"/>
      <c r="Z16" s="889"/>
      <c r="AA16" s="889"/>
      <c r="AB16" s="889"/>
      <c r="AC16" s="889"/>
      <c r="AD16" s="889"/>
      <c r="AE16" s="889"/>
      <c r="AF16" s="889"/>
      <c r="AG16" s="889"/>
      <c r="AH16" s="889"/>
      <c r="AI16" s="889"/>
    </row>
    <row r="17" spans="1:35" s="263" customFormat="1">
      <c r="A17" s="809">
        <v>1</v>
      </c>
      <c r="B17" s="874" t="s">
        <v>1406</v>
      </c>
      <c r="C17" s="884"/>
      <c r="D17" s="884"/>
      <c r="E17" s="884"/>
      <c r="F17" s="884"/>
      <c r="G17" s="884"/>
      <c r="H17" s="884"/>
      <c r="I17" s="884"/>
      <c r="J17" s="884"/>
      <c r="K17" s="884"/>
      <c r="L17" s="894" t="s">
        <v>18</v>
      </c>
      <c r="M17" s="270" t="s">
        <v>440</v>
      </c>
      <c r="N17" s="271" t="s">
        <v>352</v>
      </c>
      <c r="O17" s="895">
        <v>0</v>
      </c>
      <c r="P17" s="896">
        <v>0</v>
      </c>
      <c r="Q17" s="896">
        <v>0</v>
      </c>
      <c r="R17" s="896">
        <v>0</v>
      </c>
      <c r="S17" s="896">
        <v>0</v>
      </c>
      <c r="T17" s="896">
        <v>0</v>
      </c>
      <c r="U17" s="896">
        <v>0</v>
      </c>
      <c r="V17" s="896">
        <v>0</v>
      </c>
      <c r="W17" s="896">
        <v>0</v>
      </c>
      <c r="X17" s="896">
        <v>0</v>
      </c>
      <c r="Y17" s="895">
        <v>0</v>
      </c>
      <c r="Z17" s="896">
        <v>0</v>
      </c>
      <c r="AA17" s="896">
        <v>0</v>
      </c>
      <c r="AB17" s="896">
        <v>0</v>
      </c>
      <c r="AC17" s="896">
        <v>0</v>
      </c>
      <c r="AD17" s="896">
        <v>0</v>
      </c>
      <c r="AE17" s="896">
        <v>0</v>
      </c>
      <c r="AF17" s="896">
        <v>0</v>
      </c>
      <c r="AG17" s="896">
        <v>0</v>
      </c>
      <c r="AH17" s="896">
        <v>0</v>
      </c>
      <c r="AI17" s="796"/>
    </row>
    <row r="18" spans="1:35">
      <c r="A18" s="809">
        <v>1</v>
      </c>
      <c r="B18" s="874" t="s">
        <v>1407</v>
      </c>
      <c r="C18" s="874"/>
      <c r="D18" s="874"/>
      <c r="E18" s="874"/>
      <c r="F18" s="874"/>
      <c r="G18" s="874"/>
      <c r="H18" s="874"/>
      <c r="I18" s="874"/>
      <c r="J18" s="874"/>
      <c r="K18" s="874"/>
      <c r="L18" s="897" t="s">
        <v>149</v>
      </c>
      <c r="M18" s="274" t="s">
        <v>441</v>
      </c>
      <c r="N18" s="273" t="s">
        <v>352</v>
      </c>
      <c r="O18" s="898"/>
      <c r="P18" s="899"/>
      <c r="Q18" s="899"/>
      <c r="R18" s="899"/>
      <c r="S18" s="899"/>
      <c r="T18" s="899"/>
      <c r="U18" s="899"/>
      <c r="V18" s="899"/>
      <c r="W18" s="899"/>
      <c r="X18" s="899"/>
      <c r="Y18" s="898"/>
      <c r="Z18" s="899"/>
      <c r="AA18" s="899"/>
      <c r="AB18" s="899"/>
      <c r="AC18" s="899"/>
      <c r="AD18" s="899"/>
      <c r="AE18" s="899"/>
      <c r="AF18" s="899"/>
      <c r="AG18" s="899"/>
      <c r="AH18" s="899"/>
      <c r="AI18" s="796"/>
    </row>
    <row r="19" spans="1:35" ht="22.8">
      <c r="A19" s="809">
        <v>1</v>
      </c>
      <c r="B19" s="874" t="s">
        <v>1408</v>
      </c>
      <c r="C19" s="874"/>
      <c r="D19" s="874"/>
      <c r="E19" s="874"/>
      <c r="F19" s="874"/>
      <c r="G19" s="874"/>
      <c r="H19" s="874"/>
      <c r="I19" s="874"/>
      <c r="J19" s="874"/>
      <c r="K19" s="874"/>
      <c r="L19" s="897" t="s">
        <v>150</v>
      </c>
      <c r="M19" s="274" t="s">
        <v>442</v>
      </c>
      <c r="N19" s="273" t="s">
        <v>352</v>
      </c>
      <c r="O19" s="898"/>
      <c r="P19" s="899"/>
      <c r="Q19" s="899"/>
      <c r="R19" s="899"/>
      <c r="S19" s="899"/>
      <c r="T19" s="899"/>
      <c r="U19" s="899"/>
      <c r="V19" s="899"/>
      <c r="W19" s="899"/>
      <c r="X19" s="899"/>
      <c r="Y19" s="898"/>
      <c r="Z19" s="899"/>
      <c r="AA19" s="899"/>
      <c r="AB19" s="899"/>
      <c r="AC19" s="899"/>
      <c r="AD19" s="899"/>
      <c r="AE19" s="899"/>
      <c r="AF19" s="899"/>
      <c r="AG19" s="899"/>
      <c r="AH19" s="899"/>
      <c r="AI19" s="796"/>
    </row>
    <row r="20" spans="1:35" ht="34.200000000000003">
      <c r="A20" s="809">
        <v>1</v>
      </c>
      <c r="B20" s="874" t="s">
        <v>1519</v>
      </c>
      <c r="C20" s="874"/>
      <c r="D20" s="874"/>
      <c r="E20" s="874"/>
      <c r="F20" s="874"/>
      <c r="G20" s="874"/>
      <c r="H20" s="874"/>
      <c r="I20" s="874"/>
      <c r="J20" s="874"/>
      <c r="K20" s="874"/>
      <c r="L20" s="897" t="s">
        <v>360</v>
      </c>
      <c r="M20" s="274" t="s">
        <v>443</v>
      </c>
      <c r="N20" s="273" t="s">
        <v>352</v>
      </c>
      <c r="O20" s="898"/>
      <c r="P20" s="899"/>
      <c r="Q20" s="899"/>
      <c r="R20" s="899"/>
      <c r="S20" s="899"/>
      <c r="T20" s="899"/>
      <c r="U20" s="899"/>
      <c r="V20" s="899"/>
      <c r="W20" s="899"/>
      <c r="X20" s="899"/>
      <c r="Y20" s="898"/>
      <c r="Z20" s="899"/>
      <c r="AA20" s="899"/>
      <c r="AB20" s="899"/>
      <c r="AC20" s="899"/>
      <c r="AD20" s="899"/>
      <c r="AE20" s="899"/>
      <c r="AF20" s="899"/>
      <c r="AG20" s="899"/>
      <c r="AH20" s="899"/>
      <c r="AI20" s="796"/>
    </row>
    <row r="21" spans="1:35">
      <c r="A21" s="809">
        <v>1</v>
      </c>
      <c r="B21" s="874" t="s">
        <v>1438</v>
      </c>
      <c r="C21" s="874"/>
      <c r="D21" s="874"/>
      <c r="E21" s="874"/>
      <c r="F21" s="874"/>
      <c r="G21" s="874"/>
      <c r="H21" s="874"/>
      <c r="I21" s="874"/>
      <c r="J21" s="874"/>
      <c r="K21" s="874"/>
      <c r="L21" s="897" t="s">
        <v>102</v>
      </c>
      <c r="M21" s="272" t="s">
        <v>444</v>
      </c>
      <c r="N21" s="273" t="s">
        <v>137</v>
      </c>
      <c r="O21" s="900">
        <v>7.2</v>
      </c>
      <c r="P21" s="900">
        <v>0</v>
      </c>
      <c r="Q21" s="900">
        <v>0</v>
      </c>
      <c r="R21" s="900">
        <v>0</v>
      </c>
      <c r="S21" s="900">
        <v>0</v>
      </c>
      <c r="T21" s="900">
        <v>0</v>
      </c>
      <c r="U21" s="900">
        <v>0</v>
      </c>
      <c r="V21" s="900">
        <v>0</v>
      </c>
      <c r="W21" s="900">
        <v>0</v>
      </c>
      <c r="X21" s="900">
        <v>0</v>
      </c>
      <c r="Y21" s="900">
        <v>7.2</v>
      </c>
      <c r="Z21" s="900">
        <v>0</v>
      </c>
      <c r="AA21" s="900">
        <v>0</v>
      </c>
      <c r="AB21" s="900">
        <v>0</v>
      </c>
      <c r="AC21" s="900">
        <v>0</v>
      </c>
      <c r="AD21" s="900">
        <v>0</v>
      </c>
      <c r="AE21" s="900">
        <v>0</v>
      </c>
      <c r="AF21" s="900">
        <v>0</v>
      </c>
      <c r="AG21" s="900">
        <v>0</v>
      </c>
      <c r="AH21" s="900">
        <v>0</v>
      </c>
      <c r="AI21" s="796"/>
    </row>
    <row r="22" spans="1:35">
      <c r="A22" s="809">
        <v>1</v>
      </c>
      <c r="B22" s="874" t="s">
        <v>1442</v>
      </c>
      <c r="C22" s="874"/>
      <c r="D22" s="874"/>
      <c r="E22" s="874"/>
      <c r="F22" s="874"/>
      <c r="G22" s="874"/>
      <c r="H22" s="874"/>
      <c r="I22" s="874"/>
      <c r="J22" s="874"/>
      <c r="K22" s="874"/>
      <c r="L22" s="901">
        <v>3</v>
      </c>
      <c r="M22" s="272" t="s">
        <v>445</v>
      </c>
      <c r="N22" s="273" t="s">
        <v>137</v>
      </c>
      <c r="O22" s="902">
        <v>7.2</v>
      </c>
      <c r="P22" s="903">
        <v>0</v>
      </c>
      <c r="Q22" s="903">
        <v>0</v>
      </c>
      <c r="R22" s="903">
        <v>0</v>
      </c>
      <c r="S22" s="903">
        <v>0</v>
      </c>
      <c r="T22" s="903">
        <v>0</v>
      </c>
      <c r="U22" s="903">
        <v>0</v>
      </c>
      <c r="V22" s="903">
        <v>0</v>
      </c>
      <c r="W22" s="903">
        <v>0</v>
      </c>
      <c r="X22" s="903">
        <v>0</v>
      </c>
      <c r="Y22" s="903">
        <v>0</v>
      </c>
      <c r="Z22" s="903">
        <v>0</v>
      </c>
      <c r="AA22" s="903">
        <v>0</v>
      </c>
      <c r="AB22" s="903">
        <v>0</v>
      </c>
      <c r="AC22" s="903">
        <v>0</v>
      </c>
      <c r="AD22" s="903">
        <v>0</v>
      </c>
      <c r="AE22" s="903">
        <v>0</v>
      </c>
      <c r="AF22" s="903">
        <v>0</v>
      </c>
      <c r="AG22" s="903">
        <v>0</v>
      </c>
      <c r="AH22" s="903">
        <v>0</v>
      </c>
      <c r="AI22" s="796"/>
    </row>
    <row r="23" spans="1:35" s="263" customFormat="1">
      <c r="A23" s="809">
        <v>1</v>
      </c>
      <c r="B23" s="874" t="s">
        <v>1444</v>
      </c>
      <c r="C23" s="884"/>
      <c r="D23" s="884"/>
      <c r="E23" s="884"/>
      <c r="F23" s="884"/>
      <c r="G23" s="884"/>
      <c r="H23" s="884"/>
      <c r="I23" s="884"/>
      <c r="J23" s="884"/>
      <c r="K23" s="884"/>
      <c r="L23" s="894" t="s">
        <v>104</v>
      </c>
      <c r="M23" s="270" t="s">
        <v>446</v>
      </c>
      <c r="N23" s="271" t="s">
        <v>352</v>
      </c>
      <c r="O23" s="895">
        <v>0</v>
      </c>
      <c r="P23" s="895">
        <v>0</v>
      </c>
      <c r="Q23" s="895">
        <v>0</v>
      </c>
      <c r="R23" s="895">
        <v>0</v>
      </c>
      <c r="S23" s="895">
        <v>0</v>
      </c>
      <c r="T23" s="895">
        <v>0</v>
      </c>
      <c r="U23" s="895">
        <v>0</v>
      </c>
      <c r="V23" s="895">
        <v>0</v>
      </c>
      <c r="W23" s="895">
        <v>0</v>
      </c>
      <c r="X23" s="895">
        <v>0</v>
      </c>
      <c r="Y23" s="895">
        <v>0</v>
      </c>
      <c r="Z23" s="895">
        <v>0</v>
      </c>
      <c r="AA23" s="895">
        <v>0</v>
      </c>
      <c r="AB23" s="895">
        <v>0</v>
      </c>
      <c r="AC23" s="895">
        <v>0</v>
      </c>
      <c r="AD23" s="895">
        <v>0</v>
      </c>
      <c r="AE23" s="895">
        <v>0</v>
      </c>
      <c r="AF23" s="895">
        <v>0</v>
      </c>
      <c r="AG23" s="895">
        <v>0</v>
      </c>
      <c r="AH23" s="895">
        <v>0</v>
      </c>
      <c r="AI23" s="796"/>
    </row>
    <row r="24" spans="1:35" s="80" customFormat="1">
      <c r="A24" s="788" t="s">
        <v>102</v>
      </c>
      <c r="B24" s="774"/>
      <c r="C24" s="774"/>
      <c r="D24" s="774"/>
      <c r="E24" s="774"/>
      <c r="F24" s="774"/>
      <c r="G24" s="774"/>
      <c r="H24" s="774"/>
      <c r="I24" s="774"/>
      <c r="J24" s="774"/>
      <c r="K24" s="774"/>
      <c r="L24" s="888" t="s">
        <v>3009</v>
      </c>
      <c r="M24" s="889"/>
      <c r="N24" s="889"/>
      <c r="O24" s="889"/>
      <c r="P24" s="889"/>
      <c r="Q24" s="889"/>
      <c r="R24" s="889"/>
      <c r="S24" s="889"/>
      <c r="T24" s="889"/>
      <c r="U24" s="889"/>
      <c r="V24" s="889"/>
      <c r="W24" s="889"/>
      <c r="X24" s="889"/>
      <c r="Y24" s="889"/>
      <c r="Z24" s="889"/>
      <c r="AA24" s="889"/>
      <c r="AB24" s="889"/>
      <c r="AC24" s="889"/>
      <c r="AD24" s="889"/>
      <c r="AE24" s="889"/>
      <c r="AF24" s="889"/>
      <c r="AG24" s="889"/>
      <c r="AH24" s="889"/>
      <c r="AI24" s="889"/>
    </row>
    <row r="25" spans="1:35" s="263" customFormat="1">
      <c r="A25" s="809">
        <v>2</v>
      </c>
      <c r="B25" s="874" t="s">
        <v>1406</v>
      </c>
      <c r="C25" s="884"/>
      <c r="D25" s="884"/>
      <c r="E25" s="884"/>
      <c r="F25" s="884"/>
      <c r="G25" s="884"/>
      <c r="H25" s="884"/>
      <c r="I25" s="884"/>
      <c r="J25" s="884"/>
      <c r="K25" s="884"/>
      <c r="L25" s="894" t="s">
        <v>18</v>
      </c>
      <c r="M25" s="270" t="s">
        <v>440</v>
      </c>
      <c r="N25" s="271" t="s">
        <v>352</v>
      </c>
      <c r="O25" s="895">
        <v>0</v>
      </c>
      <c r="P25" s="896">
        <v>0</v>
      </c>
      <c r="Q25" s="896">
        <v>0</v>
      </c>
      <c r="R25" s="896">
        <v>0</v>
      </c>
      <c r="S25" s="896">
        <v>0</v>
      </c>
      <c r="T25" s="896">
        <v>0</v>
      </c>
      <c r="U25" s="896">
        <v>0</v>
      </c>
      <c r="V25" s="896">
        <v>0</v>
      </c>
      <c r="W25" s="896">
        <v>0</v>
      </c>
      <c r="X25" s="896">
        <v>0</v>
      </c>
      <c r="Y25" s="895">
        <v>0</v>
      </c>
      <c r="Z25" s="896">
        <v>0</v>
      </c>
      <c r="AA25" s="896">
        <v>0</v>
      </c>
      <c r="AB25" s="896">
        <v>0</v>
      </c>
      <c r="AC25" s="896">
        <v>0</v>
      </c>
      <c r="AD25" s="896">
        <v>0</v>
      </c>
      <c r="AE25" s="896">
        <v>0</v>
      </c>
      <c r="AF25" s="896">
        <v>0</v>
      </c>
      <c r="AG25" s="896">
        <v>0</v>
      </c>
      <c r="AH25" s="896">
        <v>0</v>
      </c>
      <c r="AI25" s="796"/>
    </row>
    <row r="26" spans="1:35">
      <c r="A26" s="809">
        <v>2</v>
      </c>
      <c r="B26" s="874" t="s">
        <v>1407</v>
      </c>
      <c r="C26" s="874"/>
      <c r="D26" s="874"/>
      <c r="E26" s="874"/>
      <c r="F26" s="874"/>
      <c r="G26" s="874"/>
      <c r="H26" s="874"/>
      <c r="I26" s="874"/>
      <c r="J26" s="874"/>
      <c r="K26" s="874"/>
      <c r="L26" s="897" t="s">
        <v>149</v>
      </c>
      <c r="M26" s="274" t="s">
        <v>441</v>
      </c>
      <c r="N26" s="273" t="s">
        <v>352</v>
      </c>
      <c r="O26" s="898"/>
      <c r="P26" s="899"/>
      <c r="Q26" s="899"/>
      <c r="R26" s="899"/>
      <c r="S26" s="899"/>
      <c r="T26" s="899"/>
      <c r="U26" s="899"/>
      <c r="V26" s="899"/>
      <c r="W26" s="899"/>
      <c r="X26" s="899"/>
      <c r="Y26" s="898"/>
      <c r="Z26" s="899"/>
      <c r="AA26" s="899"/>
      <c r="AB26" s="899"/>
      <c r="AC26" s="899"/>
      <c r="AD26" s="899"/>
      <c r="AE26" s="899"/>
      <c r="AF26" s="899"/>
      <c r="AG26" s="899"/>
      <c r="AH26" s="899"/>
      <c r="AI26" s="796"/>
    </row>
    <row r="27" spans="1:35" ht="22.8">
      <c r="A27" s="809">
        <v>2</v>
      </c>
      <c r="B27" s="874" t="s">
        <v>1408</v>
      </c>
      <c r="C27" s="874"/>
      <c r="D27" s="874"/>
      <c r="E27" s="874"/>
      <c r="F27" s="874"/>
      <c r="G27" s="874"/>
      <c r="H27" s="874"/>
      <c r="I27" s="874"/>
      <c r="J27" s="874"/>
      <c r="K27" s="874"/>
      <c r="L27" s="897" t="s">
        <v>150</v>
      </c>
      <c r="M27" s="274" t="s">
        <v>442</v>
      </c>
      <c r="N27" s="273" t="s">
        <v>352</v>
      </c>
      <c r="O27" s="898"/>
      <c r="P27" s="899"/>
      <c r="Q27" s="899"/>
      <c r="R27" s="899"/>
      <c r="S27" s="899"/>
      <c r="T27" s="899"/>
      <c r="U27" s="899"/>
      <c r="V27" s="899"/>
      <c r="W27" s="899"/>
      <c r="X27" s="899"/>
      <c r="Y27" s="898"/>
      <c r="Z27" s="899"/>
      <c r="AA27" s="899"/>
      <c r="AB27" s="899"/>
      <c r="AC27" s="899"/>
      <c r="AD27" s="899"/>
      <c r="AE27" s="899"/>
      <c r="AF27" s="899"/>
      <c r="AG27" s="899"/>
      <c r="AH27" s="899"/>
      <c r="AI27" s="796"/>
    </row>
    <row r="28" spans="1:35" ht="34.200000000000003">
      <c r="A28" s="809">
        <v>2</v>
      </c>
      <c r="B28" s="874" t="s">
        <v>1519</v>
      </c>
      <c r="C28" s="874"/>
      <c r="D28" s="874"/>
      <c r="E28" s="874"/>
      <c r="F28" s="874"/>
      <c r="G28" s="874"/>
      <c r="H28" s="874"/>
      <c r="I28" s="874"/>
      <c r="J28" s="874"/>
      <c r="K28" s="874"/>
      <c r="L28" s="897" t="s">
        <v>360</v>
      </c>
      <c r="M28" s="274" t="s">
        <v>443</v>
      </c>
      <c r="N28" s="273" t="s">
        <v>352</v>
      </c>
      <c r="O28" s="898"/>
      <c r="P28" s="899"/>
      <c r="Q28" s="899"/>
      <c r="R28" s="899"/>
      <c r="S28" s="899"/>
      <c r="T28" s="899"/>
      <c r="U28" s="899"/>
      <c r="V28" s="899"/>
      <c r="W28" s="899"/>
      <c r="X28" s="899"/>
      <c r="Y28" s="898"/>
      <c r="Z28" s="899"/>
      <c r="AA28" s="899"/>
      <c r="AB28" s="899"/>
      <c r="AC28" s="899"/>
      <c r="AD28" s="899"/>
      <c r="AE28" s="899"/>
      <c r="AF28" s="899"/>
      <c r="AG28" s="899"/>
      <c r="AH28" s="899"/>
      <c r="AI28" s="796"/>
    </row>
    <row r="29" spans="1:35">
      <c r="A29" s="809">
        <v>2</v>
      </c>
      <c r="B29" s="874" t="s">
        <v>1438</v>
      </c>
      <c r="C29" s="874"/>
      <c r="D29" s="874"/>
      <c r="E29" s="874"/>
      <c r="F29" s="874"/>
      <c r="G29" s="874"/>
      <c r="H29" s="874"/>
      <c r="I29" s="874"/>
      <c r="J29" s="874"/>
      <c r="K29" s="874"/>
      <c r="L29" s="897" t="s">
        <v>102</v>
      </c>
      <c r="M29" s="272" t="s">
        <v>444</v>
      </c>
      <c r="N29" s="273" t="s">
        <v>137</v>
      </c>
      <c r="O29" s="900">
        <v>7.2</v>
      </c>
      <c r="P29" s="900">
        <v>0</v>
      </c>
      <c r="Q29" s="900">
        <v>0</v>
      </c>
      <c r="R29" s="900">
        <v>0</v>
      </c>
      <c r="S29" s="900">
        <v>0</v>
      </c>
      <c r="T29" s="900">
        <v>0</v>
      </c>
      <c r="U29" s="900">
        <v>0</v>
      </c>
      <c r="V29" s="900">
        <v>0</v>
      </c>
      <c r="W29" s="900">
        <v>0</v>
      </c>
      <c r="X29" s="900">
        <v>0</v>
      </c>
      <c r="Y29" s="900">
        <v>7.2</v>
      </c>
      <c r="Z29" s="900">
        <v>0</v>
      </c>
      <c r="AA29" s="900">
        <v>0</v>
      </c>
      <c r="AB29" s="900">
        <v>0</v>
      </c>
      <c r="AC29" s="900">
        <v>0</v>
      </c>
      <c r="AD29" s="900">
        <v>0</v>
      </c>
      <c r="AE29" s="900">
        <v>0</v>
      </c>
      <c r="AF29" s="900">
        <v>0</v>
      </c>
      <c r="AG29" s="900">
        <v>0</v>
      </c>
      <c r="AH29" s="900">
        <v>0</v>
      </c>
      <c r="AI29" s="796"/>
    </row>
    <row r="30" spans="1:35">
      <c r="A30" s="809">
        <v>2</v>
      </c>
      <c r="B30" s="874" t="s">
        <v>1442</v>
      </c>
      <c r="C30" s="874"/>
      <c r="D30" s="874"/>
      <c r="E30" s="874"/>
      <c r="F30" s="874"/>
      <c r="G30" s="874"/>
      <c r="H30" s="874"/>
      <c r="I30" s="874"/>
      <c r="J30" s="874"/>
      <c r="K30" s="874"/>
      <c r="L30" s="901">
        <v>3</v>
      </c>
      <c r="M30" s="272" t="s">
        <v>445</v>
      </c>
      <c r="N30" s="273" t="s">
        <v>137</v>
      </c>
      <c r="O30" s="902">
        <v>7.2</v>
      </c>
      <c r="P30" s="903">
        <v>0</v>
      </c>
      <c r="Q30" s="903">
        <v>0</v>
      </c>
      <c r="R30" s="903">
        <v>0</v>
      </c>
      <c r="S30" s="903">
        <v>0</v>
      </c>
      <c r="T30" s="903">
        <v>0</v>
      </c>
      <c r="U30" s="903">
        <v>0</v>
      </c>
      <c r="V30" s="903">
        <v>0</v>
      </c>
      <c r="W30" s="903">
        <v>0</v>
      </c>
      <c r="X30" s="903">
        <v>0</v>
      </c>
      <c r="Y30" s="903">
        <v>0</v>
      </c>
      <c r="Z30" s="903">
        <v>0</v>
      </c>
      <c r="AA30" s="903">
        <v>0</v>
      </c>
      <c r="AB30" s="903">
        <v>0</v>
      </c>
      <c r="AC30" s="903">
        <v>0</v>
      </c>
      <c r="AD30" s="903">
        <v>0</v>
      </c>
      <c r="AE30" s="903">
        <v>0</v>
      </c>
      <c r="AF30" s="903">
        <v>0</v>
      </c>
      <c r="AG30" s="903">
        <v>0</v>
      </c>
      <c r="AH30" s="903">
        <v>0</v>
      </c>
      <c r="AI30" s="796"/>
    </row>
    <row r="31" spans="1:35" s="263" customFormat="1">
      <c r="A31" s="809">
        <v>2</v>
      </c>
      <c r="B31" s="874" t="s">
        <v>1444</v>
      </c>
      <c r="C31" s="884"/>
      <c r="D31" s="884"/>
      <c r="E31" s="884"/>
      <c r="F31" s="884"/>
      <c r="G31" s="884"/>
      <c r="H31" s="884"/>
      <c r="I31" s="884"/>
      <c r="J31" s="884"/>
      <c r="K31" s="884"/>
      <c r="L31" s="894" t="s">
        <v>104</v>
      </c>
      <c r="M31" s="270" t="s">
        <v>446</v>
      </c>
      <c r="N31" s="271" t="s">
        <v>352</v>
      </c>
      <c r="O31" s="895">
        <v>0</v>
      </c>
      <c r="P31" s="895">
        <v>0</v>
      </c>
      <c r="Q31" s="895">
        <v>0</v>
      </c>
      <c r="R31" s="895">
        <v>0</v>
      </c>
      <c r="S31" s="895">
        <v>0</v>
      </c>
      <c r="T31" s="895">
        <v>0</v>
      </c>
      <c r="U31" s="895">
        <v>0</v>
      </c>
      <c r="V31" s="895">
        <v>0</v>
      </c>
      <c r="W31" s="895">
        <v>0</v>
      </c>
      <c r="X31" s="895">
        <v>0</v>
      </c>
      <c r="Y31" s="895">
        <v>0</v>
      </c>
      <c r="Z31" s="895">
        <v>0</v>
      </c>
      <c r="AA31" s="895">
        <v>0</v>
      </c>
      <c r="AB31" s="895">
        <v>0</v>
      </c>
      <c r="AC31" s="895">
        <v>0</v>
      </c>
      <c r="AD31" s="895">
        <v>0</v>
      </c>
      <c r="AE31" s="895">
        <v>0</v>
      </c>
      <c r="AF31" s="895">
        <v>0</v>
      </c>
      <c r="AG31" s="895">
        <v>0</v>
      </c>
      <c r="AH31" s="895">
        <v>0</v>
      </c>
      <c r="AI31" s="796"/>
    </row>
    <row r="32" spans="1:35">
      <c r="A32" s="874"/>
      <c r="B32" s="874"/>
      <c r="C32" s="874"/>
      <c r="D32" s="874"/>
      <c r="E32" s="874"/>
      <c r="F32" s="874"/>
      <c r="G32" s="874"/>
      <c r="H32" s="874"/>
      <c r="I32" s="874"/>
      <c r="J32" s="874"/>
      <c r="K32" s="874"/>
      <c r="L32" s="874"/>
      <c r="M32" s="874"/>
      <c r="N32" s="874"/>
      <c r="O32" s="874"/>
      <c r="P32" s="874"/>
      <c r="Q32" s="874"/>
      <c r="R32" s="874"/>
      <c r="S32" s="874"/>
      <c r="T32" s="874"/>
      <c r="U32" s="874"/>
      <c r="V32" s="874"/>
      <c r="W32" s="874"/>
      <c r="X32" s="874"/>
      <c r="Y32" s="874"/>
      <c r="Z32" s="874"/>
      <c r="AA32" s="874"/>
      <c r="AB32" s="874"/>
      <c r="AC32" s="874"/>
      <c r="AD32" s="874"/>
      <c r="AE32" s="874"/>
      <c r="AF32" s="874"/>
      <c r="AG32" s="874"/>
      <c r="AH32" s="874"/>
      <c r="AI32" s="874"/>
    </row>
    <row r="33" spans="1:35" ht="15" customHeight="1">
      <c r="A33" s="874"/>
      <c r="B33" s="874"/>
      <c r="C33" s="874"/>
      <c r="D33" s="874"/>
      <c r="E33" s="874"/>
      <c r="F33" s="874"/>
      <c r="G33" s="874"/>
      <c r="H33" s="874"/>
      <c r="I33" s="874"/>
      <c r="J33" s="874"/>
      <c r="K33" s="874"/>
      <c r="L33" s="1137" t="s">
        <v>1367</v>
      </c>
      <c r="M33" s="1137"/>
      <c r="N33" s="1137"/>
      <c r="O33" s="1137"/>
      <c r="P33" s="1137"/>
      <c r="Q33" s="1137"/>
      <c r="R33" s="1137"/>
      <c r="S33" s="1137"/>
      <c r="T33" s="1137"/>
      <c r="U33" s="1137"/>
      <c r="V33" s="1137"/>
      <c r="W33" s="1137"/>
      <c r="X33" s="1137"/>
      <c r="Y33" s="1137"/>
      <c r="Z33" s="1137"/>
      <c r="AA33" s="1137"/>
      <c r="AB33" s="1137"/>
      <c r="AC33" s="1137"/>
      <c r="AD33" s="1137"/>
      <c r="AE33" s="1137"/>
      <c r="AF33" s="1137"/>
      <c r="AG33" s="1137"/>
      <c r="AH33" s="1141"/>
      <c r="AI33" s="1141"/>
    </row>
    <row r="34" spans="1:35" ht="15" customHeight="1">
      <c r="A34" s="874"/>
      <c r="B34" s="874"/>
      <c r="C34" s="874"/>
      <c r="D34" s="874"/>
      <c r="E34" s="874"/>
      <c r="F34" s="874"/>
      <c r="G34" s="874"/>
      <c r="H34" s="874"/>
      <c r="I34" s="874"/>
      <c r="J34" s="874"/>
      <c r="K34" s="662"/>
      <c r="L34" s="1139"/>
      <c r="M34" s="1142"/>
      <c r="N34" s="1142"/>
      <c r="O34" s="1142"/>
      <c r="P34" s="1142"/>
      <c r="Q34" s="1142"/>
      <c r="R34" s="1142"/>
      <c r="S34" s="1142"/>
      <c r="T34" s="1142"/>
      <c r="U34" s="1142"/>
      <c r="V34" s="1142"/>
      <c r="W34" s="1142"/>
      <c r="X34" s="1142"/>
      <c r="Y34" s="1142"/>
      <c r="Z34" s="1142"/>
      <c r="AA34" s="1142"/>
      <c r="AB34" s="1142"/>
      <c r="AC34" s="1142"/>
      <c r="AD34" s="1142"/>
      <c r="AE34" s="1142"/>
      <c r="AF34" s="1142"/>
      <c r="AG34" s="1142"/>
      <c r="AH34" s="1143"/>
      <c r="AI34" s="1143"/>
    </row>
  </sheetData>
  <sheetProtection formatColumns="0" formatRows="0" autoFilter="0"/>
  <mergeCells count="6">
    <mergeCell ref="L33:AI33"/>
    <mergeCell ref="L34:AI34"/>
    <mergeCell ref="L14:L15"/>
    <mergeCell ref="M14:M15"/>
    <mergeCell ref="N14:N15"/>
    <mergeCell ref="AI14:AI15"/>
  </mergeCells>
  <dataValidations count="3">
    <dataValidation allowBlank="1" showInputMessage="1" showErrorMessage="1" sqref="AI33:AI34"/>
    <dataValidation type="textLength" operator="lessThanOrEqual" allowBlank="1" showInputMessage="1" showErrorMessage="1" errorTitle="Ошибка" error="Допускается ввод не более 900 символов!" sqref="AI17:AI23 AI25:AI31">
      <formula1>900</formula1>
    </dataValidation>
    <dataValidation type="decimal" allowBlank="1" showErrorMessage="1" errorTitle="Ошибка" error="Допускается ввод только действительных чисел!" sqref="O18:AH20 O26:AH28">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A1:W24"/>
  <sheetViews>
    <sheetView showGridLines="0" view="pageBreakPreview" topLeftCell="L12" zoomScale="60" zoomScaleNormal="100" workbookViewId="0"/>
  </sheetViews>
  <sheetFormatPr defaultColWidth="9.125" defaultRowHeight="11.4"/>
  <cols>
    <col min="1" max="10" width="0" style="101" hidden="1" customWidth="1"/>
    <col min="11" max="11" width="3.75" style="101" hidden="1" customWidth="1"/>
    <col min="12" max="12" width="5.125" style="101" customWidth="1"/>
    <col min="13" max="13" width="50.75" style="101" customWidth="1"/>
    <col min="14" max="14" width="10.75" style="101" customWidth="1"/>
    <col min="15" max="15" width="15.75" style="101" customWidth="1"/>
    <col min="16" max="16" width="17.25" style="101" customWidth="1"/>
    <col min="17" max="17" width="19.375" style="101" customWidth="1"/>
    <col min="18" max="18" width="26.625" style="101" customWidth="1"/>
    <col min="19" max="19" width="19.125" style="101" customWidth="1"/>
    <col min="20" max="20" width="29.875" style="101" customWidth="1"/>
    <col min="21" max="21" width="19.125" style="101" customWidth="1"/>
    <col min="22" max="22" width="15.75" style="101" customWidth="1"/>
    <col min="23" max="16384" width="9.125" style="101"/>
  </cols>
  <sheetData>
    <row r="1" spans="1:23" hidden="1">
      <c r="A1" s="874"/>
      <c r="B1" s="874"/>
      <c r="C1" s="874"/>
      <c r="D1" s="874"/>
      <c r="E1" s="874"/>
      <c r="F1" s="874"/>
      <c r="G1" s="874"/>
      <c r="H1" s="874"/>
      <c r="I1" s="874"/>
      <c r="J1" s="874"/>
      <c r="K1" s="874"/>
      <c r="L1" s="874"/>
      <c r="M1" s="874"/>
      <c r="N1" s="874"/>
      <c r="O1" s="874"/>
      <c r="P1" s="874"/>
      <c r="Q1" s="874"/>
      <c r="R1" s="874"/>
      <c r="S1" s="874"/>
      <c r="T1" s="874"/>
      <c r="U1" s="874"/>
      <c r="V1" s="874"/>
      <c r="W1" s="874"/>
    </row>
    <row r="2" spans="1:23" hidden="1">
      <c r="A2" s="874"/>
      <c r="B2" s="874"/>
      <c r="C2" s="874"/>
      <c r="D2" s="874"/>
      <c r="E2" s="874"/>
      <c r="F2" s="874"/>
      <c r="G2" s="874"/>
      <c r="H2" s="874"/>
      <c r="I2" s="874"/>
      <c r="J2" s="874"/>
      <c r="K2" s="874"/>
      <c r="L2" s="874"/>
      <c r="M2" s="874"/>
      <c r="N2" s="874"/>
      <c r="O2" s="874"/>
      <c r="P2" s="874"/>
      <c r="Q2" s="874"/>
      <c r="R2" s="874"/>
      <c r="S2" s="874"/>
      <c r="T2" s="874"/>
      <c r="U2" s="874"/>
      <c r="V2" s="874"/>
      <c r="W2" s="874"/>
    </row>
    <row r="3" spans="1:23" hidden="1">
      <c r="A3" s="874"/>
      <c r="B3" s="874"/>
      <c r="C3" s="874"/>
      <c r="D3" s="874"/>
      <c r="E3" s="874"/>
      <c r="F3" s="874"/>
      <c r="G3" s="874"/>
      <c r="H3" s="874"/>
      <c r="I3" s="874"/>
      <c r="J3" s="874"/>
      <c r="K3" s="874"/>
      <c r="L3" s="874"/>
      <c r="M3" s="874"/>
      <c r="N3" s="874"/>
      <c r="O3" s="874"/>
      <c r="P3" s="874"/>
      <c r="Q3" s="874"/>
      <c r="R3" s="874"/>
      <c r="S3" s="874"/>
      <c r="T3" s="874"/>
      <c r="U3" s="874"/>
      <c r="V3" s="874"/>
      <c r="W3" s="874"/>
    </row>
    <row r="4" spans="1:23" hidden="1">
      <c r="A4" s="874"/>
      <c r="B4" s="874"/>
      <c r="C4" s="874"/>
      <c r="D4" s="874"/>
      <c r="E4" s="874"/>
      <c r="F4" s="874"/>
      <c r="G4" s="874"/>
      <c r="H4" s="874"/>
      <c r="I4" s="874"/>
      <c r="J4" s="874"/>
      <c r="K4" s="874"/>
      <c r="L4" s="874"/>
      <c r="M4" s="874"/>
      <c r="N4" s="874"/>
      <c r="O4" s="874"/>
      <c r="P4" s="874"/>
      <c r="Q4" s="874"/>
      <c r="R4" s="874"/>
      <c r="S4" s="874"/>
      <c r="T4" s="874"/>
      <c r="U4" s="874"/>
      <c r="V4" s="874"/>
      <c r="W4" s="874"/>
    </row>
    <row r="5" spans="1:23" hidden="1">
      <c r="A5" s="874"/>
      <c r="B5" s="874"/>
      <c r="C5" s="874"/>
      <c r="D5" s="874"/>
      <c r="E5" s="874"/>
      <c r="F5" s="874"/>
      <c r="G5" s="874"/>
      <c r="H5" s="874"/>
      <c r="I5" s="874"/>
      <c r="J5" s="874"/>
      <c r="K5" s="874"/>
      <c r="L5" s="874"/>
      <c r="M5" s="874"/>
      <c r="N5" s="874"/>
      <c r="O5" s="874"/>
      <c r="P5" s="874"/>
      <c r="Q5" s="874"/>
      <c r="R5" s="874"/>
      <c r="S5" s="874"/>
      <c r="T5" s="874"/>
      <c r="U5" s="874"/>
      <c r="V5" s="874"/>
      <c r="W5" s="874"/>
    </row>
    <row r="6" spans="1:23" hidden="1">
      <c r="A6" s="874"/>
      <c r="B6" s="874"/>
      <c r="C6" s="874"/>
      <c r="D6" s="874"/>
      <c r="E6" s="874"/>
      <c r="F6" s="874"/>
      <c r="G6" s="874"/>
      <c r="H6" s="874"/>
      <c r="I6" s="874"/>
      <c r="J6" s="874"/>
      <c r="K6" s="874"/>
      <c r="L6" s="874"/>
      <c r="M6" s="874"/>
      <c r="N6" s="874"/>
      <c r="O6" s="874"/>
      <c r="P6" s="874"/>
      <c r="Q6" s="874"/>
      <c r="R6" s="874"/>
      <c r="S6" s="874"/>
      <c r="T6" s="874"/>
      <c r="U6" s="874"/>
      <c r="V6" s="874"/>
      <c r="W6" s="874"/>
    </row>
    <row r="7" spans="1:23" hidden="1">
      <c r="A7" s="874"/>
      <c r="B7" s="874"/>
      <c r="C7" s="874"/>
      <c r="D7" s="874"/>
      <c r="E7" s="874"/>
      <c r="F7" s="874"/>
      <c r="G7" s="874"/>
      <c r="H7" s="874"/>
      <c r="I7" s="874"/>
      <c r="J7" s="874"/>
      <c r="K7" s="874"/>
      <c r="L7" s="874"/>
      <c r="M7" s="874"/>
      <c r="N7" s="874"/>
      <c r="O7" s="874"/>
      <c r="P7" s="874"/>
      <c r="Q7" s="874"/>
      <c r="R7" s="874"/>
      <c r="S7" s="874"/>
      <c r="T7" s="874"/>
      <c r="U7" s="874"/>
      <c r="V7" s="874"/>
      <c r="W7" s="874"/>
    </row>
    <row r="8" spans="1:23" hidden="1">
      <c r="A8" s="874"/>
      <c r="B8" s="874"/>
      <c r="C8" s="874"/>
      <c r="D8" s="874"/>
      <c r="E8" s="874"/>
      <c r="F8" s="874"/>
      <c r="G8" s="874"/>
      <c r="H8" s="874"/>
      <c r="I8" s="874"/>
      <c r="J8" s="874"/>
      <c r="K8" s="874"/>
      <c r="L8" s="874"/>
      <c r="M8" s="874"/>
      <c r="N8" s="874"/>
      <c r="O8" s="874"/>
      <c r="P8" s="874"/>
      <c r="Q8" s="874"/>
      <c r="R8" s="874"/>
      <c r="S8" s="874"/>
      <c r="T8" s="874"/>
      <c r="U8" s="874"/>
      <c r="V8" s="874"/>
      <c r="W8" s="874"/>
    </row>
    <row r="9" spans="1:23" hidden="1">
      <c r="A9" s="874"/>
      <c r="B9" s="874"/>
      <c r="C9" s="874"/>
      <c r="D9" s="874"/>
      <c r="E9" s="874"/>
      <c r="F9" s="874"/>
      <c r="G9" s="874"/>
      <c r="H9" s="874"/>
      <c r="I9" s="874"/>
      <c r="J9" s="874"/>
      <c r="K9" s="874"/>
      <c r="L9" s="874"/>
      <c r="M9" s="874"/>
      <c r="N9" s="874"/>
      <c r="O9" s="874"/>
      <c r="P9" s="874"/>
      <c r="Q9" s="874"/>
      <c r="R9" s="874"/>
      <c r="S9" s="874"/>
      <c r="T9" s="874"/>
      <c r="U9" s="874"/>
      <c r="V9" s="874"/>
      <c r="W9" s="874"/>
    </row>
    <row r="10" spans="1:23" hidden="1">
      <c r="A10" s="874"/>
      <c r="B10" s="874"/>
      <c r="C10" s="874"/>
      <c r="D10" s="874"/>
      <c r="E10" s="874"/>
      <c r="F10" s="874"/>
      <c r="G10" s="874"/>
      <c r="H10" s="874"/>
      <c r="I10" s="874"/>
      <c r="J10" s="874"/>
      <c r="K10" s="874"/>
      <c r="L10" s="874"/>
      <c r="M10" s="874"/>
      <c r="N10" s="874"/>
      <c r="O10" s="874"/>
      <c r="P10" s="874"/>
      <c r="Q10" s="874"/>
      <c r="R10" s="874"/>
      <c r="S10" s="874"/>
      <c r="T10" s="874"/>
      <c r="U10" s="874"/>
      <c r="V10" s="874"/>
      <c r="W10" s="874"/>
    </row>
    <row r="11" spans="1:23" ht="11.25" hidden="1" customHeight="1">
      <c r="A11" s="874"/>
      <c r="B11" s="874"/>
      <c r="C11" s="874"/>
      <c r="D11" s="874"/>
      <c r="E11" s="874"/>
      <c r="F11" s="874"/>
      <c r="G11" s="874"/>
      <c r="H11" s="874"/>
      <c r="I11" s="874"/>
      <c r="J11" s="874"/>
      <c r="K11" s="874"/>
      <c r="L11" s="892"/>
      <c r="M11" s="892"/>
      <c r="N11" s="892"/>
      <c r="O11" s="892"/>
      <c r="P11" s="892"/>
      <c r="Q11" s="892"/>
      <c r="R11" s="892"/>
      <c r="S11" s="892"/>
      <c r="T11" s="892"/>
      <c r="U11" s="892"/>
      <c r="V11" s="892"/>
      <c r="W11" s="874"/>
    </row>
    <row r="12" spans="1:23" ht="20.100000000000001" customHeight="1">
      <c r="A12" s="874"/>
      <c r="B12" s="874"/>
      <c r="C12" s="874"/>
      <c r="D12" s="874"/>
      <c r="E12" s="874"/>
      <c r="F12" s="874"/>
      <c r="G12" s="874"/>
      <c r="H12" s="874"/>
      <c r="I12" s="874"/>
      <c r="J12" s="874"/>
      <c r="K12" s="874"/>
      <c r="L12" s="419" t="s">
        <v>1323</v>
      </c>
      <c r="M12" s="280"/>
      <c r="N12" s="280"/>
      <c r="O12" s="280"/>
      <c r="P12" s="280"/>
      <c r="Q12" s="281"/>
      <c r="R12" s="281"/>
      <c r="S12" s="281"/>
      <c r="T12" s="281"/>
      <c r="U12" s="281"/>
      <c r="V12" s="281"/>
      <c r="W12" s="904"/>
    </row>
    <row r="13" spans="1:23" ht="11.25" customHeight="1">
      <c r="A13" s="874"/>
      <c r="B13" s="874"/>
      <c r="C13" s="874"/>
      <c r="D13" s="874"/>
      <c r="E13" s="874"/>
      <c r="F13" s="874"/>
      <c r="G13" s="874"/>
      <c r="H13" s="874"/>
      <c r="I13" s="874"/>
      <c r="J13" s="874"/>
      <c r="K13" s="874"/>
      <c r="L13" s="892"/>
      <c r="M13" s="892"/>
      <c r="N13" s="892"/>
      <c r="O13" s="892"/>
      <c r="P13" s="892"/>
      <c r="Q13" s="892"/>
      <c r="R13" s="892"/>
      <c r="S13" s="892"/>
      <c r="T13" s="892"/>
      <c r="U13" s="892"/>
      <c r="V13" s="892"/>
      <c r="W13" s="874"/>
    </row>
    <row r="14" spans="1:23" ht="111.75" customHeight="1">
      <c r="A14" s="874"/>
      <c r="B14" s="874"/>
      <c r="C14" s="874"/>
      <c r="D14" s="874"/>
      <c r="E14" s="874"/>
      <c r="F14" s="874"/>
      <c r="G14" s="874"/>
      <c r="H14" s="874"/>
      <c r="I14" s="874"/>
      <c r="J14" s="874"/>
      <c r="K14" s="874"/>
      <c r="L14" s="901" t="s">
        <v>284</v>
      </c>
      <c r="M14" s="897" t="s">
        <v>134</v>
      </c>
      <c r="N14" s="897" t="s">
        <v>135</v>
      </c>
      <c r="O14" s="878" t="s">
        <v>1294</v>
      </c>
      <c r="P14" s="878" t="s">
        <v>1662</v>
      </c>
      <c r="Q14" s="878" t="s">
        <v>447</v>
      </c>
      <c r="R14" s="878" t="s">
        <v>448</v>
      </c>
      <c r="S14" s="878" t="s">
        <v>449</v>
      </c>
      <c r="T14" s="878" t="s">
        <v>1295</v>
      </c>
      <c r="U14" s="878" t="s">
        <v>132</v>
      </c>
      <c r="V14" s="878" t="s">
        <v>450</v>
      </c>
      <c r="W14" s="874"/>
    </row>
    <row r="15" spans="1:23" s="80" customFormat="1">
      <c r="A15" s="788" t="s">
        <v>18</v>
      </c>
      <c r="B15" s="774"/>
      <c r="C15" s="774"/>
      <c r="D15" s="774"/>
      <c r="E15" s="774"/>
      <c r="F15" s="774"/>
      <c r="G15" s="774"/>
      <c r="H15" s="774"/>
      <c r="I15" s="774"/>
      <c r="J15" s="774"/>
      <c r="K15" s="774"/>
      <c r="L15" s="888" t="s">
        <v>3005</v>
      </c>
      <c r="M15" s="889"/>
      <c r="N15" s="889"/>
      <c r="O15" s="905">
        <v>0</v>
      </c>
      <c r="P15" s="905">
        <v>0</v>
      </c>
      <c r="Q15" s="905">
        <v>0</v>
      </c>
      <c r="R15" s="905">
        <v>0</v>
      </c>
      <c r="S15" s="905">
        <v>0</v>
      </c>
      <c r="T15" s="905">
        <v>0</v>
      </c>
      <c r="U15" s="905">
        <v>0</v>
      </c>
      <c r="V15" s="905">
        <v>0</v>
      </c>
      <c r="W15" s="774"/>
    </row>
    <row r="16" spans="1:23" ht="34.200000000000003">
      <c r="A16" s="809">
        <v>1</v>
      </c>
      <c r="B16" s="874" t="s">
        <v>1406</v>
      </c>
      <c r="C16" s="874"/>
      <c r="D16" s="874"/>
      <c r="E16" s="874"/>
      <c r="F16" s="874"/>
      <c r="G16" s="874"/>
      <c r="H16" s="874"/>
      <c r="I16" s="874"/>
      <c r="J16" s="874"/>
      <c r="K16" s="874"/>
      <c r="L16" s="897" t="s">
        <v>18</v>
      </c>
      <c r="M16" s="906" t="s">
        <v>1151</v>
      </c>
      <c r="N16" s="897" t="s">
        <v>352</v>
      </c>
      <c r="O16" s="898"/>
      <c r="P16" s="899"/>
      <c r="Q16" s="899"/>
      <c r="R16" s="899"/>
      <c r="S16" s="899"/>
      <c r="T16" s="899"/>
      <c r="U16" s="899"/>
      <c r="V16" s="899">
        <v>0</v>
      </c>
      <c r="W16" s="874"/>
    </row>
    <row r="17" spans="1:23" ht="22.8">
      <c r="A17" s="809">
        <v>1</v>
      </c>
      <c r="B17" s="874" t="s">
        <v>1438</v>
      </c>
      <c r="C17" s="874"/>
      <c r="D17" s="874"/>
      <c r="E17" s="874"/>
      <c r="F17" s="874"/>
      <c r="G17" s="874"/>
      <c r="H17" s="874"/>
      <c r="I17" s="874"/>
      <c r="J17" s="874"/>
      <c r="K17" s="874"/>
      <c r="L17" s="897" t="s">
        <v>102</v>
      </c>
      <c r="M17" s="906" t="s">
        <v>451</v>
      </c>
      <c r="N17" s="897" t="s">
        <v>352</v>
      </c>
      <c r="O17" s="898"/>
      <c r="P17" s="899"/>
      <c r="Q17" s="899"/>
      <c r="R17" s="899"/>
      <c r="S17" s="907"/>
      <c r="T17" s="907"/>
      <c r="U17" s="907"/>
      <c r="V17" s="899">
        <v>0</v>
      </c>
      <c r="W17" s="874"/>
    </row>
    <row r="18" spans="1:23" s="80" customFormat="1">
      <c r="A18" s="788" t="s">
        <v>102</v>
      </c>
      <c r="B18" s="774"/>
      <c r="C18" s="774"/>
      <c r="D18" s="774"/>
      <c r="E18" s="774"/>
      <c r="F18" s="774"/>
      <c r="G18" s="774"/>
      <c r="H18" s="774"/>
      <c r="I18" s="774"/>
      <c r="J18" s="774"/>
      <c r="K18" s="774"/>
      <c r="L18" s="888" t="s">
        <v>3009</v>
      </c>
      <c r="M18" s="889"/>
      <c r="N18" s="889"/>
      <c r="O18" s="905">
        <v>0</v>
      </c>
      <c r="P18" s="905">
        <v>0</v>
      </c>
      <c r="Q18" s="905">
        <v>0</v>
      </c>
      <c r="R18" s="905">
        <v>0</v>
      </c>
      <c r="S18" s="905">
        <v>0</v>
      </c>
      <c r="T18" s="905">
        <v>0</v>
      </c>
      <c r="U18" s="905">
        <v>0</v>
      </c>
      <c r="V18" s="905">
        <v>0</v>
      </c>
      <c r="W18" s="774"/>
    </row>
    <row r="19" spans="1:23" ht="34.200000000000003">
      <c r="A19" s="809">
        <v>2</v>
      </c>
      <c r="B19" s="874" t="s">
        <v>1406</v>
      </c>
      <c r="C19" s="874"/>
      <c r="D19" s="874"/>
      <c r="E19" s="874"/>
      <c r="F19" s="874"/>
      <c r="G19" s="874"/>
      <c r="H19" s="874"/>
      <c r="I19" s="874"/>
      <c r="J19" s="874"/>
      <c r="K19" s="874"/>
      <c r="L19" s="897" t="s">
        <v>18</v>
      </c>
      <c r="M19" s="906" t="s">
        <v>1151</v>
      </c>
      <c r="N19" s="897" t="s">
        <v>352</v>
      </c>
      <c r="O19" s="898"/>
      <c r="P19" s="899"/>
      <c r="Q19" s="899"/>
      <c r="R19" s="899"/>
      <c r="S19" s="899"/>
      <c r="T19" s="899"/>
      <c r="U19" s="899"/>
      <c r="V19" s="899">
        <v>0</v>
      </c>
      <c r="W19" s="874"/>
    </row>
    <row r="20" spans="1:23" ht="22.8">
      <c r="A20" s="809">
        <v>2</v>
      </c>
      <c r="B20" s="874" t="s">
        <v>1438</v>
      </c>
      <c r="C20" s="874"/>
      <c r="D20" s="874"/>
      <c r="E20" s="874"/>
      <c r="F20" s="874"/>
      <c r="G20" s="874"/>
      <c r="H20" s="874"/>
      <c r="I20" s="874"/>
      <c r="J20" s="874"/>
      <c r="K20" s="874"/>
      <c r="L20" s="897" t="s">
        <v>102</v>
      </c>
      <c r="M20" s="906" t="s">
        <v>451</v>
      </c>
      <c r="N20" s="897" t="s">
        <v>352</v>
      </c>
      <c r="O20" s="898"/>
      <c r="P20" s="899"/>
      <c r="Q20" s="899"/>
      <c r="R20" s="899"/>
      <c r="S20" s="907"/>
      <c r="T20" s="907"/>
      <c r="U20" s="907"/>
      <c r="V20" s="899">
        <v>0</v>
      </c>
      <c r="W20" s="874"/>
    </row>
    <row r="21" spans="1:23">
      <c r="A21" s="874"/>
      <c r="B21" s="874"/>
      <c r="C21" s="874"/>
      <c r="D21" s="874"/>
      <c r="E21" s="874"/>
      <c r="F21" s="874"/>
      <c r="G21" s="874"/>
      <c r="H21" s="874"/>
      <c r="I21" s="874"/>
      <c r="J21" s="874"/>
      <c r="K21" s="874"/>
      <c r="L21" s="874"/>
      <c r="M21" s="874"/>
      <c r="N21" s="874"/>
      <c r="O21" s="874"/>
      <c r="P21" s="874"/>
      <c r="Q21" s="874"/>
      <c r="R21" s="874"/>
      <c r="S21" s="874"/>
      <c r="T21" s="874"/>
      <c r="U21" s="874"/>
      <c r="V21" s="874"/>
      <c r="W21" s="874"/>
    </row>
    <row r="22" spans="1:23">
      <c r="A22" s="874"/>
      <c r="B22" s="874"/>
      <c r="C22" s="874"/>
      <c r="D22" s="874"/>
      <c r="E22" s="874"/>
      <c r="F22" s="874"/>
      <c r="G22" s="874"/>
      <c r="H22" s="874"/>
      <c r="I22" s="874"/>
      <c r="J22" s="874"/>
      <c r="K22" s="874"/>
      <c r="L22" s="874"/>
      <c r="M22" s="874"/>
      <c r="N22" s="874"/>
      <c r="O22" s="874"/>
      <c r="P22" s="874"/>
      <c r="Q22" s="874"/>
      <c r="R22" s="874"/>
      <c r="S22" s="874"/>
      <c r="T22" s="874"/>
      <c r="U22" s="874"/>
      <c r="V22" s="874"/>
      <c r="W22" s="874"/>
    </row>
    <row r="23" spans="1:23" ht="24" customHeight="1">
      <c r="A23" s="874"/>
      <c r="B23" s="874"/>
      <c r="C23" s="874"/>
      <c r="D23" s="874"/>
      <c r="E23" s="874"/>
      <c r="F23" s="874"/>
      <c r="G23" s="874"/>
      <c r="H23" s="874"/>
      <c r="I23" s="874"/>
      <c r="J23" s="874"/>
      <c r="K23" s="874"/>
      <c r="L23" s="1137" t="s">
        <v>1367</v>
      </c>
      <c r="M23" s="1137"/>
      <c r="N23" s="1137"/>
      <c r="O23" s="1137"/>
      <c r="P23" s="1137"/>
      <c r="Q23" s="1137"/>
      <c r="R23" s="1137"/>
      <c r="S23" s="1137"/>
      <c r="T23" s="1137"/>
      <c r="U23" s="1137"/>
      <c r="V23" s="1141"/>
      <c r="W23" s="874"/>
    </row>
    <row r="24" spans="1:23" ht="14.4">
      <c r="A24" s="874"/>
      <c r="B24" s="874"/>
      <c r="C24" s="874"/>
      <c r="D24" s="874"/>
      <c r="E24" s="874"/>
      <c r="F24" s="874"/>
      <c r="G24" s="874"/>
      <c r="H24" s="874"/>
      <c r="I24" s="874"/>
      <c r="J24" s="874"/>
      <c r="K24" s="662"/>
      <c r="L24" s="1139"/>
      <c r="M24" s="1139"/>
      <c r="N24" s="1139"/>
      <c r="O24" s="1139"/>
      <c r="P24" s="1139"/>
      <c r="Q24" s="1139"/>
      <c r="R24" s="1139"/>
      <c r="S24" s="1139"/>
      <c r="T24" s="1139"/>
      <c r="U24" s="1139"/>
      <c r="V24" s="1145"/>
      <c r="W24" s="874"/>
    </row>
  </sheetData>
  <sheetProtection formatColumns="0" formatRows="0" autoFilter="0"/>
  <mergeCells count="2">
    <mergeCell ref="L23:V23"/>
    <mergeCell ref="L24:V24"/>
  </mergeCells>
  <dataValidations count="2">
    <dataValidation type="decimal" allowBlank="1" showErrorMessage="1" errorTitle="Ошибка" error="Допускается ввод только действительных чисел!" sqref="O16:O17 O19:O20">
      <formula1>-9.99999999999999E+23</formula1>
      <formula2>9.99999999999999E+23</formula2>
    </dataValidation>
    <dataValidation type="decimal" allowBlank="1" showErrorMessage="1" errorTitle="Ошибка" error="Допускается ввод только неотрицательных чисел!" sqref="V16 P16:R16 R17:V17 R20:V20 P19:R19 V19">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summaryRight="0"/>
  </sheetPr>
  <dimension ref="A1:R107"/>
  <sheetViews>
    <sheetView showGridLines="0" view="pageBreakPreview" zoomScale="60" zoomScaleNormal="100" workbookViewId="0">
      <pane xSplit="15" ySplit="15" topLeftCell="P91" activePane="bottomRight" state="frozen"/>
      <selection activeCell="M11" sqref="M11"/>
      <selection pane="topRight" activeCell="M11" sqref="M11"/>
      <selection pane="bottomLeft" activeCell="M11" sqref="M11"/>
      <selection pane="bottomRight" activeCell="Y96" sqref="Y96"/>
    </sheetView>
  </sheetViews>
  <sheetFormatPr defaultColWidth="9.125" defaultRowHeight="11.4"/>
  <cols>
    <col min="1" max="10" width="9.125" style="101" hidden="1" customWidth="1"/>
    <col min="11" max="11" width="3.75" style="101" hidden="1" customWidth="1"/>
    <col min="12" max="12" width="8.75" style="285" customWidth="1"/>
    <col min="13" max="13" width="62.875" style="101" customWidth="1"/>
    <col min="14" max="15" width="12.75" style="101" customWidth="1"/>
    <col min="16" max="17" width="15.75" style="101" customWidth="1"/>
    <col min="18" max="18" width="20.75" style="101" customWidth="1"/>
    <col min="19" max="16384" width="9.125" style="101"/>
  </cols>
  <sheetData>
    <row r="1" spans="1:18" hidden="1">
      <c r="A1" s="874"/>
      <c r="B1" s="874"/>
      <c r="C1" s="874"/>
      <c r="D1" s="874"/>
      <c r="E1" s="874"/>
      <c r="F1" s="874"/>
      <c r="G1" s="874"/>
      <c r="H1" s="874"/>
      <c r="I1" s="874"/>
      <c r="J1" s="874"/>
      <c r="K1" s="874"/>
      <c r="L1" s="890"/>
      <c r="M1" s="874"/>
      <c r="N1" s="874"/>
      <c r="O1" s="874"/>
      <c r="P1" s="874">
        <v>2022</v>
      </c>
      <c r="Q1" s="874">
        <v>2022</v>
      </c>
      <c r="R1" s="874"/>
    </row>
    <row r="2" spans="1:18" hidden="1">
      <c r="A2" s="874"/>
      <c r="B2" s="874"/>
      <c r="C2" s="874"/>
      <c r="D2" s="874"/>
      <c r="E2" s="874"/>
      <c r="F2" s="874"/>
      <c r="G2" s="874"/>
      <c r="H2" s="874"/>
      <c r="I2" s="874"/>
      <c r="J2" s="874"/>
      <c r="K2" s="874"/>
      <c r="L2" s="890"/>
      <c r="M2" s="874"/>
      <c r="N2" s="874"/>
      <c r="O2" s="874"/>
      <c r="P2" s="874" t="s">
        <v>306</v>
      </c>
      <c r="Q2" s="874" t="s">
        <v>268</v>
      </c>
      <c r="R2" s="874"/>
    </row>
    <row r="3" spans="1:18" hidden="1">
      <c r="A3" s="874"/>
      <c r="B3" s="874"/>
      <c r="C3" s="874"/>
      <c r="D3" s="874"/>
      <c r="E3" s="874"/>
      <c r="F3" s="874"/>
      <c r="G3" s="874"/>
      <c r="H3" s="874"/>
      <c r="I3" s="874"/>
      <c r="J3" s="874"/>
      <c r="K3" s="874"/>
      <c r="L3" s="890"/>
      <c r="M3" s="874"/>
      <c r="N3" s="874"/>
      <c r="O3" s="874"/>
      <c r="P3" s="874"/>
      <c r="Q3" s="874"/>
      <c r="R3" s="874"/>
    </row>
    <row r="4" spans="1:18" hidden="1">
      <c r="A4" s="874"/>
      <c r="B4" s="874"/>
      <c r="C4" s="874"/>
      <c r="D4" s="874"/>
      <c r="E4" s="874"/>
      <c r="F4" s="874"/>
      <c r="G4" s="874"/>
      <c r="H4" s="874"/>
      <c r="I4" s="874"/>
      <c r="J4" s="874"/>
      <c r="K4" s="874"/>
      <c r="L4" s="890"/>
      <c r="M4" s="874"/>
      <c r="N4" s="874"/>
      <c r="O4" s="874"/>
      <c r="P4" s="874"/>
      <c r="Q4" s="874"/>
      <c r="R4" s="874"/>
    </row>
    <row r="5" spans="1:18" hidden="1">
      <c r="A5" s="874"/>
      <c r="B5" s="874"/>
      <c r="C5" s="874"/>
      <c r="D5" s="874"/>
      <c r="E5" s="874"/>
      <c r="F5" s="874"/>
      <c r="G5" s="874"/>
      <c r="H5" s="874"/>
      <c r="I5" s="874"/>
      <c r="J5" s="874"/>
      <c r="K5" s="874"/>
      <c r="L5" s="890"/>
      <c r="M5" s="874"/>
      <c r="N5" s="874"/>
      <c r="O5" s="874"/>
      <c r="P5" s="874"/>
      <c r="Q5" s="874"/>
      <c r="R5" s="874"/>
    </row>
    <row r="6" spans="1:18" hidden="1">
      <c r="A6" s="874"/>
      <c r="B6" s="874"/>
      <c r="C6" s="874"/>
      <c r="D6" s="874"/>
      <c r="E6" s="874"/>
      <c r="F6" s="874"/>
      <c r="G6" s="874"/>
      <c r="H6" s="874"/>
      <c r="I6" s="874"/>
      <c r="J6" s="874"/>
      <c r="K6" s="874"/>
      <c r="L6" s="890"/>
      <c r="M6" s="874"/>
      <c r="N6" s="874"/>
      <c r="O6" s="874"/>
      <c r="P6" s="874"/>
      <c r="Q6" s="874"/>
      <c r="R6" s="874"/>
    </row>
    <row r="7" spans="1:18" hidden="1">
      <c r="A7" s="874"/>
      <c r="B7" s="874"/>
      <c r="C7" s="874"/>
      <c r="D7" s="874"/>
      <c r="E7" s="874"/>
      <c r="F7" s="874"/>
      <c r="G7" s="874"/>
      <c r="H7" s="874"/>
      <c r="I7" s="874"/>
      <c r="J7" s="874"/>
      <c r="K7" s="874"/>
      <c r="L7" s="890"/>
      <c r="M7" s="874"/>
      <c r="N7" s="874"/>
      <c r="O7" s="874"/>
      <c r="P7" s="874"/>
      <c r="Q7" s="874"/>
      <c r="R7" s="874"/>
    </row>
    <row r="8" spans="1:18" hidden="1">
      <c r="A8" s="874"/>
      <c r="B8" s="874"/>
      <c r="C8" s="874"/>
      <c r="D8" s="874"/>
      <c r="E8" s="874"/>
      <c r="F8" s="874"/>
      <c r="G8" s="874"/>
      <c r="H8" s="874"/>
      <c r="I8" s="874"/>
      <c r="J8" s="874"/>
      <c r="K8" s="874"/>
      <c r="L8" s="890"/>
      <c r="M8" s="874"/>
      <c r="N8" s="874"/>
      <c r="O8" s="874"/>
      <c r="P8" s="874"/>
      <c r="Q8" s="874"/>
      <c r="R8" s="874"/>
    </row>
    <row r="9" spans="1:18" hidden="1">
      <c r="A9" s="874"/>
      <c r="B9" s="874"/>
      <c r="C9" s="874"/>
      <c r="D9" s="874"/>
      <c r="E9" s="874"/>
      <c r="F9" s="874"/>
      <c r="G9" s="874"/>
      <c r="H9" s="874"/>
      <c r="I9" s="874"/>
      <c r="J9" s="874"/>
      <c r="K9" s="874"/>
      <c r="L9" s="890"/>
      <c r="M9" s="874"/>
      <c r="N9" s="874"/>
      <c r="O9" s="874"/>
      <c r="P9" s="874"/>
      <c r="Q9" s="874"/>
      <c r="R9" s="874"/>
    </row>
    <row r="10" spans="1:18" hidden="1">
      <c r="A10" s="874"/>
      <c r="B10" s="874"/>
      <c r="C10" s="874"/>
      <c r="D10" s="874"/>
      <c r="E10" s="874"/>
      <c r="F10" s="874"/>
      <c r="G10" s="874"/>
      <c r="H10" s="874"/>
      <c r="I10" s="874"/>
      <c r="J10" s="874"/>
      <c r="K10" s="874"/>
      <c r="L10" s="890"/>
      <c r="M10" s="874"/>
      <c r="N10" s="874"/>
      <c r="O10" s="874"/>
      <c r="P10" s="874"/>
      <c r="Q10" s="874"/>
      <c r="R10" s="874"/>
    </row>
    <row r="11" spans="1:18" ht="15" hidden="1" customHeight="1">
      <c r="A11" s="874"/>
      <c r="B11" s="874"/>
      <c r="C11" s="874"/>
      <c r="D11" s="874"/>
      <c r="E11" s="874"/>
      <c r="F11" s="874"/>
      <c r="G11" s="874"/>
      <c r="H11" s="874"/>
      <c r="I11" s="874"/>
      <c r="J11" s="874"/>
      <c r="K11" s="874"/>
      <c r="L11" s="908"/>
      <c r="M11" s="893"/>
      <c r="N11" s="892"/>
      <c r="O11" s="892"/>
      <c r="P11" s="892"/>
      <c r="Q11" s="892"/>
      <c r="R11" s="874"/>
    </row>
    <row r="12" spans="1:18" ht="22.5" customHeight="1">
      <c r="A12" s="874"/>
      <c r="B12" s="874"/>
      <c r="C12" s="874"/>
      <c r="D12" s="874"/>
      <c r="E12" s="874"/>
      <c r="F12" s="874"/>
      <c r="G12" s="874"/>
      <c r="H12" s="874"/>
      <c r="I12" s="874"/>
      <c r="J12" s="874"/>
      <c r="K12" s="874"/>
      <c r="L12" s="419" t="s">
        <v>1253</v>
      </c>
      <c r="M12" s="283"/>
      <c r="N12" s="283"/>
      <c r="O12" s="283"/>
      <c r="P12" s="283"/>
      <c r="Q12" s="284"/>
      <c r="R12" s="284"/>
    </row>
    <row r="13" spans="1:18" ht="11.25" customHeight="1">
      <c r="A13" s="874"/>
      <c r="B13" s="874"/>
      <c r="C13" s="874"/>
      <c r="D13" s="874"/>
      <c r="E13" s="874"/>
      <c r="F13" s="874"/>
      <c r="G13" s="874"/>
      <c r="H13" s="874"/>
      <c r="I13" s="874"/>
      <c r="J13" s="874"/>
      <c r="K13" s="874"/>
      <c r="L13" s="908"/>
      <c r="M13" s="892"/>
      <c r="N13" s="892"/>
      <c r="O13" s="892"/>
      <c r="P13" s="892"/>
      <c r="Q13" s="892"/>
      <c r="R13" s="874"/>
    </row>
    <row r="14" spans="1:18" ht="19.5" customHeight="1">
      <c r="A14" s="874"/>
      <c r="B14" s="874"/>
      <c r="C14" s="874"/>
      <c r="D14" s="874"/>
      <c r="E14" s="874"/>
      <c r="F14" s="874"/>
      <c r="G14" s="874"/>
      <c r="H14" s="874"/>
      <c r="I14" s="874"/>
      <c r="J14" s="874"/>
      <c r="K14" s="874"/>
      <c r="L14" s="1109" t="s">
        <v>16</v>
      </c>
      <c r="M14" s="1140" t="s">
        <v>121</v>
      </c>
      <c r="N14" s="1146" t="s">
        <v>1121</v>
      </c>
      <c r="O14" s="1140" t="s">
        <v>267</v>
      </c>
      <c r="P14" s="909" t="s">
        <v>3010</v>
      </c>
      <c r="Q14" s="909" t="s">
        <v>3010</v>
      </c>
      <c r="R14" s="1140" t="s">
        <v>109</v>
      </c>
    </row>
    <row r="15" spans="1:18" ht="32.25" customHeight="1">
      <c r="A15" s="874"/>
      <c r="B15" s="874"/>
      <c r="C15" s="874"/>
      <c r="D15" s="874"/>
      <c r="E15" s="874"/>
      <c r="F15" s="874"/>
      <c r="G15" s="874"/>
      <c r="H15" s="874"/>
      <c r="I15" s="874"/>
      <c r="J15" s="874"/>
      <c r="K15" s="874"/>
      <c r="L15" s="1109"/>
      <c r="M15" s="1140"/>
      <c r="N15" s="1146"/>
      <c r="O15" s="1140"/>
      <c r="P15" s="909" t="s">
        <v>306</v>
      </c>
      <c r="Q15" s="910" t="s">
        <v>268</v>
      </c>
      <c r="R15" s="1140"/>
    </row>
    <row r="16" spans="1:18">
      <c r="A16" s="788" t="s">
        <v>18</v>
      </c>
      <c r="B16" s="911" t="s">
        <v>998</v>
      </c>
      <c r="C16" s="912"/>
      <c r="D16" s="874"/>
      <c r="E16" s="874"/>
      <c r="F16" s="874"/>
      <c r="G16" s="874"/>
      <c r="H16" s="874"/>
      <c r="I16" s="874"/>
      <c r="J16" s="874"/>
      <c r="K16" s="874"/>
      <c r="L16" s="913" t="s">
        <v>3005</v>
      </c>
      <c r="M16" s="913"/>
      <c r="N16" s="913"/>
      <c r="O16" s="913"/>
      <c r="P16" s="913"/>
      <c r="Q16" s="913"/>
      <c r="R16" s="913"/>
    </row>
    <row r="17" spans="1:18" s="263" customFormat="1" ht="57">
      <c r="A17" s="809">
        <v>1</v>
      </c>
      <c r="B17" s="884"/>
      <c r="C17" s="884"/>
      <c r="D17" s="874" t="s">
        <v>1406</v>
      </c>
      <c r="E17" s="884"/>
      <c r="F17" s="884"/>
      <c r="G17" s="884"/>
      <c r="H17" s="884"/>
      <c r="I17" s="884"/>
      <c r="J17" s="884"/>
      <c r="K17" s="884"/>
      <c r="L17" s="914" t="s">
        <v>452</v>
      </c>
      <c r="M17" s="915" t="s">
        <v>453</v>
      </c>
      <c r="N17" s="914" t="s">
        <v>3056</v>
      </c>
      <c r="O17" s="916" t="s">
        <v>352</v>
      </c>
      <c r="P17" s="896">
        <v>0</v>
      </c>
      <c r="Q17" s="896">
        <v>-201.42088074781554</v>
      </c>
      <c r="R17" s="917"/>
    </row>
    <row r="18" spans="1:18" s="263" customFormat="1">
      <c r="A18" s="809">
        <v>1</v>
      </c>
      <c r="B18" s="884"/>
      <c r="C18" s="884"/>
      <c r="D18" s="874" t="s">
        <v>1407</v>
      </c>
      <c r="E18" s="884"/>
      <c r="F18" s="884"/>
      <c r="G18" s="884"/>
      <c r="H18" s="884"/>
      <c r="I18" s="884"/>
      <c r="J18" s="884"/>
      <c r="K18" s="884"/>
      <c r="L18" s="918" t="s">
        <v>18</v>
      </c>
      <c r="M18" s="915" t="s">
        <v>454</v>
      </c>
      <c r="N18" s="914" t="s">
        <v>3057</v>
      </c>
      <c r="O18" s="916" t="s">
        <v>352</v>
      </c>
      <c r="P18" s="919"/>
      <c r="Q18" s="919">
        <v>2061.9969999999998</v>
      </c>
      <c r="R18" s="917"/>
    </row>
    <row r="19" spans="1:18" s="263" customFormat="1" ht="22.8">
      <c r="A19" s="809">
        <v>1</v>
      </c>
      <c r="B19" s="884"/>
      <c r="C19" s="884"/>
      <c r="D19" s="874" t="s">
        <v>1408</v>
      </c>
      <c r="E19" s="884"/>
      <c r="F19" s="884"/>
      <c r="G19" s="884"/>
      <c r="H19" s="884"/>
      <c r="I19" s="884"/>
      <c r="J19" s="884"/>
      <c r="K19" s="884"/>
      <c r="L19" s="918" t="s">
        <v>102</v>
      </c>
      <c r="M19" s="920" t="s">
        <v>455</v>
      </c>
      <c r="N19" s="914" t="s">
        <v>3058</v>
      </c>
      <c r="O19" s="916" t="s">
        <v>352</v>
      </c>
      <c r="P19" s="896">
        <v>0</v>
      </c>
      <c r="Q19" s="896">
        <v>1860.5761192521843</v>
      </c>
      <c r="R19" s="917"/>
    </row>
    <row r="20" spans="1:18" ht="22.8">
      <c r="A20" s="809">
        <v>1</v>
      </c>
      <c r="B20" s="874"/>
      <c r="C20" s="912"/>
      <c r="D20" s="874" t="s">
        <v>1409</v>
      </c>
      <c r="E20" s="874"/>
      <c r="F20" s="874"/>
      <c r="G20" s="874"/>
      <c r="H20" s="874"/>
      <c r="I20" s="874"/>
      <c r="J20" s="874"/>
      <c r="K20" s="874"/>
      <c r="L20" s="921" t="s">
        <v>17</v>
      </c>
      <c r="M20" s="922" t="s">
        <v>456</v>
      </c>
      <c r="N20" s="923" t="s">
        <v>3059</v>
      </c>
      <c r="O20" s="878" t="s">
        <v>352</v>
      </c>
      <c r="P20" s="898"/>
      <c r="Q20" s="898">
        <v>1800.136</v>
      </c>
      <c r="R20" s="924"/>
    </row>
    <row r="21" spans="1:18" ht="22.8">
      <c r="A21" s="809">
        <v>1</v>
      </c>
      <c r="B21" s="874"/>
      <c r="C21" s="912"/>
      <c r="D21" s="874" t="s">
        <v>1410</v>
      </c>
      <c r="E21" s="874"/>
      <c r="F21" s="874"/>
      <c r="G21" s="874"/>
      <c r="H21" s="874"/>
      <c r="I21" s="874"/>
      <c r="J21" s="874"/>
      <c r="K21" s="874"/>
      <c r="L21" s="921" t="s">
        <v>138</v>
      </c>
      <c r="M21" s="922" t="s">
        <v>458</v>
      </c>
      <c r="N21" s="923" t="s">
        <v>3060</v>
      </c>
      <c r="O21" s="878" t="s">
        <v>352</v>
      </c>
      <c r="P21" s="925">
        <v>0</v>
      </c>
      <c r="Q21" s="925">
        <v>0</v>
      </c>
      <c r="R21" s="924"/>
    </row>
    <row r="22" spans="1:18" ht="34.200000000000003">
      <c r="A22" s="809">
        <v>1</v>
      </c>
      <c r="B22" s="874"/>
      <c r="C22" s="912"/>
      <c r="D22" s="874" t="s">
        <v>1411</v>
      </c>
      <c r="E22" s="874"/>
      <c r="F22" s="874"/>
      <c r="G22" s="874"/>
      <c r="H22" s="874"/>
      <c r="I22" s="874"/>
      <c r="J22" s="874"/>
      <c r="K22" s="874"/>
      <c r="L22" s="921" t="s">
        <v>139</v>
      </c>
      <c r="M22" s="926" t="s">
        <v>460</v>
      </c>
      <c r="N22" s="878"/>
      <c r="O22" s="878" t="s">
        <v>352</v>
      </c>
      <c r="P22" s="898">
        <v>0</v>
      </c>
      <c r="Q22" s="898">
        <v>0</v>
      </c>
      <c r="R22" s="924"/>
    </row>
    <row r="23" spans="1:18">
      <c r="A23" s="809">
        <v>1</v>
      </c>
      <c r="B23" s="874"/>
      <c r="C23" s="912"/>
      <c r="D23" s="874" t="s">
        <v>1412</v>
      </c>
      <c r="E23" s="874"/>
      <c r="F23" s="874"/>
      <c r="G23" s="874"/>
      <c r="H23" s="874"/>
      <c r="I23" s="874"/>
      <c r="J23" s="874"/>
      <c r="K23" s="874"/>
      <c r="L23" s="921" t="s">
        <v>461</v>
      </c>
      <c r="M23" s="926" t="s">
        <v>462</v>
      </c>
      <c r="N23" s="878"/>
      <c r="O23" s="878" t="s">
        <v>352</v>
      </c>
      <c r="P23" s="898"/>
      <c r="Q23" s="898">
        <v>0</v>
      </c>
      <c r="R23" s="924"/>
    </row>
    <row r="24" spans="1:18" ht="22.8">
      <c r="A24" s="809">
        <v>1</v>
      </c>
      <c r="B24" s="874"/>
      <c r="C24" s="912"/>
      <c r="D24" s="874" t="s">
        <v>1413</v>
      </c>
      <c r="E24" s="874"/>
      <c r="F24" s="874"/>
      <c r="G24" s="874"/>
      <c r="H24" s="874"/>
      <c r="I24" s="874"/>
      <c r="J24" s="874"/>
      <c r="K24" s="874"/>
      <c r="L24" s="921" t="s">
        <v>463</v>
      </c>
      <c r="M24" s="926" t="s">
        <v>464</v>
      </c>
      <c r="N24" s="878"/>
      <c r="O24" s="878" t="s">
        <v>352</v>
      </c>
      <c r="P24" s="898"/>
      <c r="Q24" s="898">
        <v>0</v>
      </c>
      <c r="R24" s="924"/>
    </row>
    <row r="25" spans="1:18" ht="79.8">
      <c r="A25" s="809">
        <v>1</v>
      </c>
      <c r="B25" s="927" t="s">
        <v>1361</v>
      </c>
      <c r="C25" s="912"/>
      <c r="D25" s="911" t="s">
        <v>1414</v>
      </c>
      <c r="E25" s="874"/>
      <c r="F25" s="874"/>
      <c r="G25" s="874"/>
      <c r="H25" s="874"/>
      <c r="I25" s="874"/>
      <c r="J25" s="874"/>
      <c r="K25" s="874"/>
      <c r="L25" s="921" t="s">
        <v>465</v>
      </c>
      <c r="M25" s="926" t="s">
        <v>466</v>
      </c>
      <c r="N25" s="878"/>
      <c r="O25" s="878" t="s">
        <v>352</v>
      </c>
      <c r="P25" s="898"/>
      <c r="Q25" s="898">
        <v>0</v>
      </c>
      <c r="R25" s="924"/>
    </row>
    <row r="26" spans="1:18" ht="22.8">
      <c r="A26" s="809">
        <v>1</v>
      </c>
      <c r="B26" s="927" t="s">
        <v>619</v>
      </c>
      <c r="C26" s="912"/>
      <c r="D26" s="911" t="s">
        <v>1415</v>
      </c>
      <c r="E26" s="874"/>
      <c r="F26" s="874"/>
      <c r="G26" s="874"/>
      <c r="H26" s="874"/>
      <c r="I26" s="874"/>
      <c r="J26" s="874"/>
      <c r="K26" s="874"/>
      <c r="L26" s="921" t="s">
        <v>467</v>
      </c>
      <c r="M26" s="926" t="s">
        <v>468</v>
      </c>
      <c r="N26" s="878"/>
      <c r="O26" s="878" t="s">
        <v>352</v>
      </c>
      <c r="P26" s="898"/>
      <c r="Q26" s="898">
        <v>0</v>
      </c>
      <c r="R26" s="924"/>
    </row>
    <row r="27" spans="1:18" ht="22.8">
      <c r="A27" s="809">
        <v>1</v>
      </c>
      <c r="B27" s="927" t="s">
        <v>622</v>
      </c>
      <c r="C27" s="912"/>
      <c r="D27" s="911" t="s">
        <v>1416</v>
      </c>
      <c r="E27" s="874"/>
      <c r="F27" s="874"/>
      <c r="G27" s="874"/>
      <c r="H27" s="874"/>
      <c r="I27" s="874"/>
      <c r="J27" s="874"/>
      <c r="K27" s="874"/>
      <c r="L27" s="921" t="s">
        <v>469</v>
      </c>
      <c r="M27" s="926" t="s">
        <v>1163</v>
      </c>
      <c r="N27" s="878"/>
      <c r="O27" s="878" t="s">
        <v>352</v>
      </c>
      <c r="P27" s="898"/>
      <c r="Q27" s="898">
        <v>0</v>
      </c>
      <c r="R27" s="924"/>
    </row>
    <row r="28" spans="1:18" ht="22.8">
      <c r="A28" s="809">
        <v>1</v>
      </c>
      <c r="B28" s="927" t="s">
        <v>623</v>
      </c>
      <c r="C28" s="912"/>
      <c r="D28" s="911" t="s">
        <v>1417</v>
      </c>
      <c r="E28" s="874"/>
      <c r="F28" s="874"/>
      <c r="G28" s="874"/>
      <c r="H28" s="874"/>
      <c r="I28" s="874"/>
      <c r="J28" s="874"/>
      <c r="K28" s="874"/>
      <c r="L28" s="921" t="s">
        <v>470</v>
      </c>
      <c r="M28" s="926" t="s">
        <v>1164</v>
      </c>
      <c r="N28" s="878"/>
      <c r="O28" s="878" t="s">
        <v>352</v>
      </c>
      <c r="P28" s="898"/>
      <c r="Q28" s="898">
        <v>0</v>
      </c>
      <c r="R28" s="924"/>
    </row>
    <row r="29" spans="1:18" ht="22.8">
      <c r="A29" s="809">
        <v>1</v>
      </c>
      <c r="B29" s="927" t="s">
        <v>624</v>
      </c>
      <c r="C29" s="912"/>
      <c r="D29" s="911" t="s">
        <v>1418</v>
      </c>
      <c r="E29" s="874"/>
      <c r="F29" s="874"/>
      <c r="G29" s="874"/>
      <c r="H29" s="874"/>
      <c r="I29" s="874"/>
      <c r="J29" s="874"/>
      <c r="K29" s="874"/>
      <c r="L29" s="921" t="s">
        <v>471</v>
      </c>
      <c r="M29" s="926" t="s">
        <v>472</v>
      </c>
      <c r="N29" s="928"/>
      <c r="O29" s="878" t="s">
        <v>352</v>
      </c>
      <c r="P29" s="898"/>
      <c r="Q29" s="898">
        <v>0</v>
      </c>
      <c r="R29" s="924"/>
    </row>
    <row r="30" spans="1:18" ht="22.8">
      <c r="A30" s="809">
        <v>1</v>
      </c>
      <c r="B30" s="927" t="s">
        <v>625</v>
      </c>
      <c r="C30" s="912"/>
      <c r="D30" s="911" t="s">
        <v>1419</v>
      </c>
      <c r="E30" s="874"/>
      <c r="F30" s="874"/>
      <c r="G30" s="874"/>
      <c r="H30" s="874"/>
      <c r="I30" s="874"/>
      <c r="J30" s="874"/>
      <c r="K30" s="874"/>
      <c r="L30" s="921" t="s">
        <v>473</v>
      </c>
      <c r="M30" s="926" t="s">
        <v>474</v>
      </c>
      <c r="N30" s="928"/>
      <c r="O30" s="878" t="s">
        <v>352</v>
      </c>
      <c r="P30" s="898"/>
      <c r="Q30" s="898">
        <v>0</v>
      </c>
      <c r="R30" s="924"/>
    </row>
    <row r="31" spans="1:18">
      <c r="A31" s="809">
        <v>1</v>
      </c>
      <c r="B31" s="927" t="s">
        <v>627</v>
      </c>
      <c r="C31" s="912"/>
      <c r="D31" s="911" t="s">
        <v>1420</v>
      </c>
      <c r="E31" s="874"/>
      <c r="F31" s="874"/>
      <c r="G31" s="874"/>
      <c r="H31" s="874"/>
      <c r="I31" s="874"/>
      <c r="J31" s="874"/>
      <c r="K31" s="874"/>
      <c r="L31" s="921" t="s">
        <v>475</v>
      </c>
      <c r="M31" s="926" t="s">
        <v>476</v>
      </c>
      <c r="N31" s="928"/>
      <c r="O31" s="878" t="s">
        <v>352</v>
      </c>
      <c r="P31" s="898"/>
      <c r="Q31" s="898">
        <v>0</v>
      </c>
      <c r="R31" s="924"/>
    </row>
    <row r="32" spans="1:18" ht="34.200000000000003">
      <c r="A32" s="809">
        <v>1</v>
      </c>
      <c r="B32" s="927" t="s">
        <v>1362</v>
      </c>
      <c r="C32" s="912"/>
      <c r="D32" s="911" t="s">
        <v>1421</v>
      </c>
      <c r="E32" s="874"/>
      <c r="F32" s="874"/>
      <c r="G32" s="874"/>
      <c r="H32" s="874"/>
      <c r="I32" s="874"/>
      <c r="J32" s="874"/>
      <c r="K32" s="874"/>
      <c r="L32" s="921" t="s">
        <v>477</v>
      </c>
      <c r="M32" s="926" t="s">
        <v>478</v>
      </c>
      <c r="N32" s="928"/>
      <c r="O32" s="878" t="s">
        <v>352</v>
      </c>
      <c r="P32" s="898"/>
      <c r="Q32" s="898">
        <v>0</v>
      </c>
      <c r="R32" s="924"/>
    </row>
    <row r="33" spans="1:18">
      <c r="A33" s="809">
        <v>1</v>
      </c>
      <c r="B33" s="874"/>
      <c r="C33" s="912"/>
      <c r="D33" s="874" t="s">
        <v>1422</v>
      </c>
      <c r="E33" s="874"/>
      <c r="F33" s="874"/>
      <c r="G33" s="874"/>
      <c r="H33" s="874"/>
      <c r="I33" s="874"/>
      <c r="J33" s="874"/>
      <c r="K33" s="874"/>
      <c r="L33" s="921" t="s">
        <v>151</v>
      </c>
      <c r="M33" s="929" t="s">
        <v>479</v>
      </c>
      <c r="N33" s="923" t="s">
        <v>3061</v>
      </c>
      <c r="O33" s="878" t="s">
        <v>352</v>
      </c>
      <c r="P33" s="899">
        <v>0</v>
      </c>
      <c r="Q33" s="899">
        <v>85.500119252184206</v>
      </c>
      <c r="R33" s="924"/>
    </row>
    <row r="34" spans="1:18" ht="22.8">
      <c r="A34" s="809">
        <v>1</v>
      </c>
      <c r="B34" s="874"/>
      <c r="C34" s="912"/>
      <c r="D34" s="874" t="s">
        <v>1423</v>
      </c>
      <c r="E34" s="874"/>
      <c r="F34" s="874"/>
      <c r="G34" s="874"/>
      <c r="H34" s="874"/>
      <c r="I34" s="874"/>
      <c r="J34" s="874"/>
      <c r="K34" s="874"/>
      <c r="L34" s="921" t="s">
        <v>152</v>
      </c>
      <c r="M34" s="926" t="s">
        <v>481</v>
      </c>
      <c r="N34" s="923" t="s">
        <v>482</v>
      </c>
      <c r="O34" s="878" t="s">
        <v>483</v>
      </c>
      <c r="P34" s="898"/>
      <c r="Q34" s="898">
        <v>2.3305084745762712E-2</v>
      </c>
      <c r="R34" s="924"/>
    </row>
    <row r="35" spans="1:18">
      <c r="A35" s="809">
        <v>1</v>
      </c>
      <c r="B35" s="874"/>
      <c r="C35" s="912"/>
      <c r="D35" s="874" t="s">
        <v>1424</v>
      </c>
      <c r="E35" s="874"/>
      <c r="F35" s="874"/>
      <c r="G35" s="874"/>
      <c r="H35" s="874"/>
      <c r="I35" s="874"/>
      <c r="J35" s="874"/>
      <c r="K35" s="874"/>
      <c r="L35" s="921" t="s">
        <v>604</v>
      </c>
      <c r="M35" s="926" t="s">
        <v>1152</v>
      </c>
      <c r="N35" s="923" t="s">
        <v>484</v>
      </c>
      <c r="O35" s="878" t="s">
        <v>485</v>
      </c>
      <c r="P35" s="898"/>
      <c r="Q35" s="898">
        <v>651.79</v>
      </c>
      <c r="R35" s="924"/>
    </row>
    <row r="36" spans="1:18" ht="22.8">
      <c r="A36" s="809">
        <v>1</v>
      </c>
      <c r="B36" s="874"/>
      <c r="C36" s="912"/>
      <c r="D36" s="874" t="s">
        <v>1425</v>
      </c>
      <c r="E36" s="874"/>
      <c r="F36" s="874"/>
      <c r="G36" s="874"/>
      <c r="H36" s="874"/>
      <c r="I36" s="874"/>
      <c r="J36" s="874"/>
      <c r="K36" s="874"/>
      <c r="L36" s="921" t="s">
        <v>606</v>
      </c>
      <c r="M36" s="926" t="s">
        <v>1094</v>
      </c>
      <c r="N36" s="923" t="s">
        <v>486</v>
      </c>
      <c r="O36" s="878" t="s">
        <v>487</v>
      </c>
      <c r="P36" s="898"/>
      <c r="Q36" s="898">
        <v>5.6287030941408824</v>
      </c>
      <c r="R36" s="924"/>
    </row>
    <row r="37" spans="1:18" ht="22.8">
      <c r="A37" s="809">
        <v>1</v>
      </c>
      <c r="B37" s="874" t="s">
        <v>1079</v>
      </c>
      <c r="C37" s="912"/>
      <c r="D37" s="874" t="s">
        <v>1426</v>
      </c>
      <c r="E37" s="874"/>
      <c r="F37" s="874"/>
      <c r="G37" s="874"/>
      <c r="H37" s="874"/>
      <c r="I37" s="874"/>
      <c r="J37" s="874"/>
      <c r="K37" s="874"/>
      <c r="L37" s="921" t="s">
        <v>153</v>
      </c>
      <c r="M37" s="922" t="s">
        <v>488</v>
      </c>
      <c r="N37" s="923" t="s">
        <v>3062</v>
      </c>
      <c r="O37" s="878" t="s">
        <v>352</v>
      </c>
      <c r="P37" s="898"/>
      <c r="Q37" s="898">
        <v>0</v>
      </c>
      <c r="R37" s="924"/>
    </row>
    <row r="38" spans="1:18">
      <c r="A38" s="809">
        <v>1</v>
      </c>
      <c r="B38" s="874"/>
      <c r="C38" s="912"/>
      <c r="D38" s="874" t="s">
        <v>1427</v>
      </c>
      <c r="E38" s="874"/>
      <c r="F38" s="874"/>
      <c r="G38" s="874"/>
      <c r="H38" s="874"/>
      <c r="I38" s="874"/>
      <c r="J38" s="874"/>
      <c r="K38" s="874"/>
      <c r="L38" s="921" t="s">
        <v>367</v>
      </c>
      <c r="M38" s="930" t="s">
        <v>490</v>
      </c>
      <c r="N38" s="923" t="s">
        <v>3063</v>
      </c>
      <c r="O38" s="878" t="s">
        <v>352</v>
      </c>
      <c r="P38" s="898"/>
      <c r="Q38" s="898">
        <v>0</v>
      </c>
      <c r="R38" s="924"/>
    </row>
    <row r="39" spans="1:18" ht="22.8">
      <c r="A39" s="809">
        <v>1</v>
      </c>
      <c r="B39" s="927" t="s">
        <v>641</v>
      </c>
      <c r="C39" s="912"/>
      <c r="D39" s="911" t="s">
        <v>1428</v>
      </c>
      <c r="E39" s="874"/>
      <c r="F39" s="874"/>
      <c r="G39" s="874"/>
      <c r="H39" s="874"/>
      <c r="I39" s="874"/>
      <c r="J39" s="874"/>
      <c r="K39" s="874"/>
      <c r="L39" s="921" t="s">
        <v>492</v>
      </c>
      <c r="M39" s="922" t="s">
        <v>1165</v>
      </c>
      <c r="N39" s="923" t="s">
        <v>3064</v>
      </c>
      <c r="O39" s="878" t="s">
        <v>352</v>
      </c>
      <c r="P39" s="898"/>
      <c r="Q39" s="898">
        <v>0</v>
      </c>
      <c r="R39" s="924"/>
    </row>
    <row r="40" spans="1:18" ht="22.8">
      <c r="A40" s="809">
        <v>1</v>
      </c>
      <c r="B40" s="927"/>
      <c r="C40" s="912"/>
      <c r="D40" s="874" t="s">
        <v>1429</v>
      </c>
      <c r="E40" s="874"/>
      <c r="F40" s="874"/>
      <c r="G40" s="874"/>
      <c r="H40" s="874"/>
      <c r="I40" s="874"/>
      <c r="J40" s="874"/>
      <c r="K40" s="874"/>
      <c r="L40" s="921" t="s">
        <v>494</v>
      </c>
      <c r="M40" s="922" t="s">
        <v>1430</v>
      </c>
      <c r="N40" s="923"/>
      <c r="O40" s="878" t="s">
        <v>352</v>
      </c>
      <c r="P40" s="898"/>
      <c r="Q40" s="898">
        <v>-25.06</v>
      </c>
      <c r="R40" s="924"/>
    </row>
    <row r="41" spans="1:18" ht="34.200000000000003">
      <c r="A41" s="809">
        <v>1</v>
      </c>
      <c r="B41" s="874"/>
      <c r="C41" s="912"/>
      <c r="D41" s="874" t="s">
        <v>1431</v>
      </c>
      <c r="E41" s="874"/>
      <c r="F41" s="874"/>
      <c r="G41" s="874"/>
      <c r="H41" s="874"/>
      <c r="I41" s="874"/>
      <c r="J41" s="874"/>
      <c r="K41" s="874"/>
      <c r="L41" s="921" t="s">
        <v>1432</v>
      </c>
      <c r="M41" s="926" t="s">
        <v>495</v>
      </c>
      <c r="N41" s="923" t="s">
        <v>3065</v>
      </c>
      <c r="O41" s="878" t="s">
        <v>352</v>
      </c>
      <c r="P41" s="898"/>
      <c r="Q41" s="898"/>
      <c r="R41" s="924"/>
    </row>
    <row r="42" spans="1:18" ht="22.8">
      <c r="A42" s="809">
        <v>1</v>
      </c>
      <c r="B42" s="874"/>
      <c r="C42" s="912"/>
      <c r="D42" s="874" t="s">
        <v>1433</v>
      </c>
      <c r="E42" s="874"/>
      <c r="F42" s="874"/>
      <c r="G42" s="874"/>
      <c r="H42" s="874"/>
      <c r="I42" s="874"/>
      <c r="J42" s="874"/>
      <c r="K42" s="874"/>
      <c r="L42" s="921" t="s">
        <v>1434</v>
      </c>
      <c r="M42" s="926" t="s">
        <v>498</v>
      </c>
      <c r="N42" s="923" t="s">
        <v>3066</v>
      </c>
      <c r="O42" s="878" t="s">
        <v>352</v>
      </c>
      <c r="P42" s="898"/>
      <c r="Q42" s="898"/>
      <c r="R42" s="924"/>
    </row>
    <row r="43" spans="1:18" ht="57">
      <c r="A43" s="809">
        <v>1</v>
      </c>
      <c r="B43" s="874"/>
      <c r="C43" s="912"/>
      <c r="D43" s="874" t="s">
        <v>1435</v>
      </c>
      <c r="E43" s="874"/>
      <c r="F43" s="874"/>
      <c r="G43" s="874"/>
      <c r="H43" s="874"/>
      <c r="I43" s="874"/>
      <c r="J43" s="874"/>
      <c r="K43" s="874"/>
      <c r="L43" s="921" t="s">
        <v>1436</v>
      </c>
      <c r="M43" s="926" t="s">
        <v>1215</v>
      </c>
      <c r="N43" s="878" t="s">
        <v>1214</v>
      </c>
      <c r="O43" s="878" t="s">
        <v>352</v>
      </c>
      <c r="P43" s="898"/>
      <c r="Q43" s="898"/>
      <c r="R43" s="924"/>
    </row>
    <row r="44" spans="1:18" ht="22.8">
      <c r="A44" s="809">
        <v>1</v>
      </c>
      <c r="B44" s="874"/>
      <c r="C44" s="912"/>
      <c r="D44" s="874" t="s">
        <v>1437</v>
      </c>
      <c r="E44" s="874"/>
      <c r="F44" s="874"/>
      <c r="G44" s="874"/>
      <c r="H44" s="874"/>
      <c r="I44" s="874"/>
      <c r="J44" s="874"/>
      <c r="K44" s="874"/>
      <c r="L44" s="921" t="s">
        <v>500</v>
      </c>
      <c r="M44" s="929" t="s">
        <v>1212</v>
      </c>
      <c r="N44" s="878" t="s">
        <v>1213</v>
      </c>
      <c r="O44" s="878" t="s">
        <v>352</v>
      </c>
      <c r="P44" s="898"/>
      <c r="Q44" s="898"/>
      <c r="R44" s="924"/>
    </row>
    <row r="45" spans="1:18" s="263" customFormat="1" ht="34.200000000000003">
      <c r="A45" s="809">
        <v>1</v>
      </c>
      <c r="B45" s="884"/>
      <c r="C45" s="884"/>
      <c r="D45" s="874" t="s">
        <v>1438</v>
      </c>
      <c r="E45" s="884"/>
      <c r="F45" s="884"/>
      <c r="G45" s="884"/>
      <c r="H45" s="884"/>
      <c r="I45" s="884"/>
      <c r="J45" s="884"/>
      <c r="K45" s="884"/>
      <c r="L45" s="914" t="s">
        <v>501</v>
      </c>
      <c r="M45" s="920" t="s">
        <v>502</v>
      </c>
      <c r="N45" s="914" t="s">
        <v>3056</v>
      </c>
      <c r="O45" s="916" t="s">
        <v>352</v>
      </c>
      <c r="P45" s="896">
        <v>0</v>
      </c>
      <c r="Q45" s="896">
        <v>0</v>
      </c>
      <c r="R45" s="917"/>
    </row>
    <row r="46" spans="1:18" ht="34.200000000000003">
      <c r="A46" s="809">
        <v>1</v>
      </c>
      <c r="B46" s="874"/>
      <c r="C46" s="912"/>
      <c r="D46" s="874" t="s">
        <v>1439</v>
      </c>
      <c r="E46" s="874"/>
      <c r="F46" s="874"/>
      <c r="G46" s="874"/>
      <c r="H46" s="874"/>
      <c r="I46" s="874"/>
      <c r="J46" s="874"/>
      <c r="K46" s="874"/>
      <c r="L46" s="921" t="s">
        <v>18</v>
      </c>
      <c r="M46" s="931" t="s">
        <v>503</v>
      </c>
      <c r="N46" s="923" t="s">
        <v>3067</v>
      </c>
      <c r="O46" s="878" t="s">
        <v>352</v>
      </c>
      <c r="P46" s="925">
        <v>0</v>
      </c>
      <c r="Q46" s="925">
        <v>0</v>
      </c>
      <c r="R46" s="924"/>
    </row>
    <row r="47" spans="1:18" ht="57">
      <c r="A47" s="809">
        <v>1</v>
      </c>
      <c r="B47" s="874"/>
      <c r="C47" s="912"/>
      <c r="D47" s="874" t="s">
        <v>1440</v>
      </c>
      <c r="E47" s="874"/>
      <c r="F47" s="874"/>
      <c r="G47" s="874"/>
      <c r="H47" s="874"/>
      <c r="I47" s="874"/>
      <c r="J47" s="874"/>
      <c r="K47" s="874"/>
      <c r="L47" s="921" t="s">
        <v>149</v>
      </c>
      <c r="M47" s="929" t="s">
        <v>505</v>
      </c>
      <c r="N47" s="923" t="s">
        <v>3068</v>
      </c>
      <c r="O47" s="878" t="s">
        <v>352</v>
      </c>
      <c r="P47" s="898"/>
      <c r="Q47" s="898"/>
      <c r="R47" s="924"/>
    </row>
    <row r="48" spans="1:18" ht="45.6">
      <c r="A48" s="809">
        <v>1</v>
      </c>
      <c r="B48" s="874"/>
      <c r="C48" s="912"/>
      <c r="D48" s="874" t="s">
        <v>1441</v>
      </c>
      <c r="E48" s="874"/>
      <c r="F48" s="874"/>
      <c r="G48" s="874"/>
      <c r="H48" s="874"/>
      <c r="I48" s="874"/>
      <c r="J48" s="874"/>
      <c r="K48" s="874"/>
      <c r="L48" s="921" t="s">
        <v>150</v>
      </c>
      <c r="M48" s="929" t="s">
        <v>507</v>
      </c>
      <c r="N48" s="923" t="s">
        <v>3069</v>
      </c>
      <c r="O48" s="878" t="s">
        <v>352</v>
      </c>
      <c r="P48" s="898"/>
      <c r="Q48" s="898"/>
      <c r="R48" s="924"/>
    </row>
    <row r="49" spans="1:18" ht="34.200000000000003">
      <c r="A49" s="809">
        <v>1</v>
      </c>
      <c r="B49" s="874"/>
      <c r="C49" s="912"/>
      <c r="D49" s="874" t="s">
        <v>1442</v>
      </c>
      <c r="E49" s="874"/>
      <c r="F49" s="874"/>
      <c r="G49" s="874"/>
      <c r="H49" s="874"/>
      <c r="I49" s="874"/>
      <c r="J49" s="874"/>
      <c r="K49" s="874"/>
      <c r="L49" s="878" t="s">
        <v>1131</v>
      </c>
      <c r="M49" s="932" t="s">
        <v>1194</v>
      </c>
      <c r="N49" s="923" t="s">
        <v>3070</v>
      </c>
      <c r="O49" s="878" t="s">
        <v>352</v>
      </c>
      <c r="P49" s="869"/>
      <c r="Q49" s="869"/>
      <c r="R49" s="924"/>
    </row>
    <row r="50" spans="1:18" ht="136.80000000000001">
      <c r="A50" s="809">
        <v>1</v>
      </c>
      <c r="B50" s="874"/>
      <c r="C50" s="912"/>
      <c r="D50" s="874" t="s">
        <v>1444</v>
      </c>
      <c r="E50" s="874"/>
      <c r="F50" s="874"/>
      <c r="G50" s="874"/>
      <c r="H50" s="874"/>
      <c r="I50" s="874"/>
      <c r="J50" s="874"/>
      <c r="K50" s="874"/>
      <c r="L50" s="878" t="s">
        <v>1132</v>
      </c>
      <c r="M50" s="932" t="s">
        <v>509</v>
      </c>
      <c r="N50" s="923" t="s">
        <v>3071</v>
      </c>
      <c r="O50" s="878" t="s">
        <v>352</v>
      </c>
      <c r="P50" s="869"/>
      <c r="Q50" s="869"/>
      <c r="R50" s="924"/>
    </row>
    <row r="51" spans="1:18" ht="91.2">
      <c r="A51" s="809">
        <v>1</v>
      </c>
      <c r="B51" s="874"/>
      <c r="C51" s="933" t="b">
        <v>1</v>
      </c>
      <c r="D51" s="874" t="s">
        <v>1446</v>
      </c>
      <c r="E51" s="874"/>
      <c r="F51" s="874"/>
      <c r="G51" s="874"/>
      <c r="H51" s="874"/>
      <c r="I51" s="874"/>
      <c r="J51" s="874"/>
      <c r="K51" s="874"/>
      <c r="L51" s="878" t="s">
        <v>1447</v>
      </c>
      <c r="M51" s="932" t="s">
        <v>1153</v>
      </c>
      <c r="N51" s="923"/>
      <c r="O51" s="878" t="s">
        <v>352</v>
      </c>
      <c r="P51" s="869"/>
      <c r="Q51" s="811">
        <v>0</v>
      </c>
      <c r="R51" s="924"/>
    </row>
    <row r="52" spans="1:18" ht="57">
      <c r="A52" s="809">
        <v>1</v>
      </c>
      <c r="B52" s="874"/>
      <c r="C52" s="933" t="b">
        <v>1</v>
      </c>
      <c r="D52" s="874" t="s">
        <v>1448</v>
      </c>
      <c r="E52" s="874"/>
      <c r="F52" s="874"/>
      <c r="G52" s="874"/>
      <c r="H52" s="874"/>
      <c r="I52" s="874"/>
      <c r="J52" s="874"/>
      <c r="K52" s="874"/>
      <c r="L52" s="878" t="s">
        <v>1449</v>
      </c>
      <c r="M52" s="932" t="s">
        <v>646</v>
      </c>
      <c r="N52" s="923"/>
      <c r="O52" s="878" t="s">
        <v>352</v>
      </c>
      <c r="P52" s="869"/>
      <c r="Q52" s="811">
        <v>0</v>
      </c>
      <c r="R52" s="924"/>
    </row>
    <row r="53" spans="1:18">
      <c r="A53" s="809">
        <v>1</v>
      </c>
      <c r="B53" s="874"/>
      <c r="C53" s="912"/>
      <c r="D53" s="874" t="s">
        <v>1450</v>
      </c>
      <c r="E53" s="874"/>
      <c r="F53" s="874"/>
      <c r="G53" s="874"/>
      <c r="H53" s="874"/>
      <c r="I53" s="874"/>
      <c r="J53" s="874"/>
      <c r="K53" s="874"/>
      <c r="L53" s="878" t="s">
        <v>1451</v>
      </c>
      <c r="M53" s="932" t="s">
        <v>647</v>
      </c>
      <c r="N53" s="923"/>
      <c r="O53" s="878" t="s">
        <v>352</v>
      </c>
      <c r="P53" s="869"/>
      <c r="Q53" s="869"/>
      <c r="R53" s="924"/>
    </row>
    <row r="54" spans="1:18" s="263" customFormat="1" ht="22.8">
      <c r="A54" s="809">
        <v>1</v>
      </c>
      <c r="B54" s="884"/>
      <c r="C54" s="884"/>
      <c r="D54" s="884" t="s">
        <v>1452</v>
      </c>
      <c r="E54" s="884"/>
      <c r="F54" s="884"/>
      <c r="G54" s="884"/>
      <c r="H54" s="884"/>
      <c r="I54" s="884"/>
      <c r="J54" s="884"/>
      <c r="K54" s="884"/>
      <c r="L54" s="916" t="s">
        <v>1453</v>
      </c>
      <c r="M54" s="920" t="s">
        <v>648</v>
      </c>
      <c r="N54" s="914"/>
      <c r="O54" s="916" t="s">
        <v>352</v>
      </c>
      <c r="P54" s="934">
        <v>0</v>
      </c>
      <c r="Q54" s="934">
        <v>0</v>
      </c>
      <c r="R54" s="917"/>
    </row>
    <row r="55" spans="1:18" ht="22.8">
      <c r="A55" s="809">
        <v>1</v>
      </c>
      <c r="B55" s="874"/>
      <c r="C55" s="912"/>
      <c r="D55" s="874" t="s">
        <v>1454</v>
      </c>
      <c r="E55" s="874"/>
      <c r="F55" s="874"/>
      <c r="G55" s="874"/>
      <c r="H55" s="874"/>
      <c r="I55" s="874"/>
      <c r="J55" s="874"/>
      <c r="K55" s="874"/>
      <c r="L55" s="878">
        <v>1</v>
      </c>
      <c r="M55" s="929" t="s">
        <v>649</v>
      </c>
      <c r="N55" s="923"/>
      <c r="O55" s="878" t="s">
        <v>352</v>
      </c>
      <c r="P55" s="869"/>
      <c r="Q55" s="869"/>
      <c r="R55" s="924"/>
    </row>
    <row r="56" spans="1:18" ht="22.8">
      <c r="A56" s="809">
        <v>1</v>
      </c>
      <c r="B56" s="874"/>
      <c r="C56" s="912"/>
      <c r="D56" s="874" t="s">
        <v>1455</v>
      </c>
      <c r="E56" s="874"/>
      <c r="F56" s="874"/>
      <c r="G56" s="874"/>
      <c r="H56" s="874"/>
      <c r="I56" s="874"/>
      <c r="J56" s="874"/>
      <c r="K56" s="874"/>
      <c r="L56" s="878">
        <v>2</v>
      </c>
      <c r="M56" s="929" t="s">
        <v>650</v>
      </c>
      <c r="N56" s="923"/>
      <c r="O56" s="878" t="s">
        <v>352</v>
      </c>
      <c r="P56" s="869"/>
      <c r="Q56" s="869"/>
      <c r="R56" s="924"/>
    </row>
    <row r="57" spans="1:18" ht="22.8">
      <c r="A57" s="809">
        <v>1</v>
      </c>
      <c r="B57" s="874"/>
      <c r="C57" s="912"/>
      <c r="D57" s="874" t="s">
        <v>1456</v>
      </c>
      <c r="E57" s="874"/>
      <c r="F57" s="874"/>
      <c r="G57" s="874"/>
      <c r="H57" s="874"/>
      <c r="I57" s="874"/>
      <c r="J57" s="874"/>
      <c r="K57" s="874"/>
      <c r="L57" s="878" t="s">
        <v>1457</v>
      </c>
      <c r="M57" s="932" t="s">
        <v>651</v>
      </c>
      <c r="N57" s="923"/>
      <c r="O57" s="878" t="s">
        <v>352</v>
      </c>
      <c r="P57" s="869"/>
      <c r="Q57" s="869"/>
      <c r="R57" s="924"/>
    </row>
    <row r="58" spans="1:18">
      <c r="A58" s="809">
        <v>1</v>
      </c>
      <c r="B58" s="874"/>
      <c r="C58" s="912"/>
      <c r="D58" s="874" t="s">
        <v>1458</v>
      </c>
      <c r="E58" s="874"/>
      <c r="F58" s="874"/>
      <c r="G58" s="874"/>
      <c r="H58" s="874"/>
      <c r="I58" s="874"/>
      <c r="J58" s="874"/>
      <c r="K58" s="874"/>
      <c r="L58" s="878" t="s">
        <v>1459</v>
      </c>
      <c r="M58" s="932" t="s">
        <v>652</v>
      </c>
      <c r="N58" s="923"/>
      <c r="O58" s="878" t="s">
        <v>352</v>
      </c>
      <c r="P58" s="869"/>
      <c r="Q58" s="869"/>
      <c r="R58" s="924"/>
    </row>
    <row r="59" spans="1:18" s="263" customFormat="1">
      <c r="A59" s="809">
        <v>1</v>
      </c>
      <c r="B59" s="884"/>
      <c r="C59" s="884"/>
      <c r="D59" s="884" t="s">
        <v>1460</v>
      </c>
      <c r="E59" s="884"/>
      <c r="F59" s="884"/>
      <c r="G59" s="884"/>
      <c r="H59" s="884"/>
      <c r="I59" s="884"/>
      <c r="J59" s="884"/>
      <c r="K59" s="884"/>
      <c r="L59" s="916" t="s">
        <v>1461</v>
      </c>
      <c r="M59" s="920" t="s">
        <v>1462</v>
      </c>
      <c r="N59" s="914"/>
      <c r="O59" s="916" t="s">
        <v>352</v>
      </c>
      <c r="P59" s="935">
        <v>0</v>
      </c>
      <c r="Q59" s="935">
        <v>-201.42088074781554</v>
      </c>
      <c r="R59" s="917"/>
    </row>
    <row r="60" spans="1:18">
      <c r="A60" s="788" t="s">
        <v>102</v>
      </c>
      <c r="B60" s="911" t="s">
        <v>998</v>
      </c>
      <c r="C60" s="912"/>
      <c r="D60" s="874"/>
      <c r="E60" s="874"/>
      <c r="F60" s="874"/>
      <c r="G60" s="874"/>
      <c r="H60" s="874"/>
      <c r="I60" s="874"/>
      <c r="J60" s="874"/>
      <c r="K60" s="874"/>
      <c r="L60" s="913" t="s">
        <v>3009</v>
      </c>
      <c r="M60" s="913"/>
      <c r="N60" s="913"/>
      <c r="O60" s="913"/>
      <c r="P60" s="913"/>
      <c r="Q60" s="913"/>
      <c r="R60" s="913"/>
    </row>
    <row r="61" spans="1:18" s="263" customFormat="1" ht="57">
      <c r="A61" s="809">
        <v>2</v>
      </c>
      <c r="B61" s="884"/>
      <c r="C61" s="884"/>
      <c r="D61" s="874" t="s">
        <v>1406</v>
      </c>
      <c r="E61" s="884"/>
      <c r="F61" s="884"/>
      <c r="G61" s="884"/>
      <c r="H61" s="884"/>
      <c r="I61" s="884"/>
      <c r="J61" s="884"/>
      <c r="K61" s="884"/>
      <c r="L61" s="914" t="s">
        <v>452</v>
      </c>
      <c r="M61" s="915" t="s">
        <v>453</v>
      </c>
      <c r="N61" s="914" t="s">
        <v>3056</v>
      </c>
      <c r="O61" s="916" t="s">
        <v>352</v>
      </c>
      <c r="P61" s="896">
        <v>0</v>
      </c>
      <c r="Q61" s="896">
        <v>-195.99100000000021</v>
      </c>
      <c r="R61" s="917"/>
    </row>
    <row r="62" spans="1:18" s="263" customFormat="1">
      <c r="A62" s="809">
        <v>2</v>
      </c>
      <c r="B62" s="884"/>
      <c r="C62" s="884"/>
      <c r="D62" s="874" t="s">
        <v>1407</v>
      </c>
      <c r="E62" s="884"/>
      <c r="F62" s="884"/>
      <c r="G62" s="884"/>
      <c r="H62" s="884"/>
      <c r="I62" s="884"/>
      <c r="J62" s="884"/>
      <c r="K62" s="884"/>
      <c r="L62" s="918" t="s">
        <v>18</v>
      </c>
      <c r="M62" s="915" t="s">
        <v>454</v>
      </c>
      <c r="N62" s="914" t="s">
        <v>3057</v>
      </c>
      <c r="O62" s="916" t="s">
        <v>352</v>
      </c>
      <c r="P62" s="919"/>
      <c r="Q62" s="919">
        <v>1272.9780000000001</v>
      </c>
      <c r="R62" s="917"/>
    </row>
    <row r="63" spans="1:18" s="263" customFormat="1" ht="22.8">
      <c r="A63" s="809">
        <v>2</v>
      </c>
      <c r="B63" s="884"/>
      <c r="C63" s="884"/>
      <c r="D63" s="874" t="s">
        <v>1408</v>
      </c>
      <c r="E63" s="884"/>
      <c r="F63" s="884"/>
      <c r="G63" s="884"/>
      <c r="H63" s="884"/>
      <c r="I63" s="884"/>
      <c r="J63" s="884"/>
      <c r="K63" s="884"/>
      <c r="L63" s="918" t="s">
        <v>102</v>
      </c>
      <c r="M63" s="920" t="s">
        <v>455</v>
      </c>
      <c r="N63" s="914" t="s">
        <v>3058</v>
      </c>
      <c r="O63" s="916" t="s">
        <v>352</v>
      </c>
      <c r="P63" s="896">
        <v>0</v>
      </c>
      <c r="Q63" s="896">
        <v>1076.9869999999999</v>
      </c>
      <c r="R63" s="917"/>
    </row>
    <row r="64" spans="1:18" ht="22.8">
      <c r="A64" s="809">
        <v>2</v>
      </c>
      <c r="B64" s="874"/>
      <c r="C64" s="912"/>
      <c r="D64" s="874" t="s">
        <v>1409</v>
      </c>
      <c r="E64" s="874"/>
      <c r="F64" s="874"/>
      <c r="G64" s="874"/>
      <c r="H64" s="874"/>
      <c r="I64" s="874"/>
      <c r="J64" s="874"/>
      <c r="K64" s="874"/>
      <c r="L64" s="921" t="s">
        <v>17</v>
      </c>
      <c r="M64" s="922" t="s">
        <v>456</v>
      </c>
      <c r="N64" s="923" t="s">
        <v>3059</v>
      </c>
      <c r="O64" s="878" t="s">
        <v>352</v>
      </c>
      <c r="P64" s="898"/>
      <c r="Q64" s="898">
        <v>1123.6569999999999</v>
      </c>
      <c r="R64" s="924"/>
    </row>
    <row r="65" spans="1:18" ht="22.8">
      <c r="A65" s="809">
        <v>2</v>
      </c>
      <c r="B65" s="874"/>
      <c r="C65" s="912"/>
      <c r="D65" s="874" t="s">
        <v>1410</v>
      </c>
      <c r="E65" s="874"/>
      <c r="F65" s="874"/>
      <c r="G65" s="874"/>
      <c r="H65" s="874"/>
      <c r="I65" s="874"/>
      <c r="J65" s="874"/>
      <c r="K65" s="874"/>
      <c r="L65" s="921" t="s">
        <v>138</v>
      </c>
      <c r="M65" s="922" t="s">
        <v>458</v>
      </c>
      <c r="N65" s="923" t="s">
        <v>3060</v>
      </c>
      <c r="O65" s="878" t="s">
        <v>352</v>
      </c>
      <c r="P65" s="925">
        <v>0</v>
      </c>
      <c r="Q65" s="925">
        <v>0</v>
      </c>
      <c r="R65" s="924"/>
    </row>
    <row r="66" spans="1:18" ht="34.200000000000003">
      <c r="A66" s="809">
        <v>2</v>
      </c>
      <c r="B66" s="874"/>
      <c r="C66" s="912"/>
      <c r="D66" s="874" t="s">
        <v>1411</v>
      </c>
      <c r="E66" s="874"/>
      <c r="F66" s="874"/>
      <c r="G66" s="874"/>
      <c r="H66" s="874"/>
      <c r="I66" s="874"/>
      <c r="J66" s="874"/>
      <c r="K66" s="874"/>
      <c r="L66" s="921" t="s">
        <v>139</v>
      </c>
      <c r="M66" s="926" t="s">
        <v>460</v>
      </c>
      <c r="N66" s="878"/>
      <c r="O66" s="878" t="s">
        <v>352</v>
      </c>
      <c r="P66" s="898">
        <v>0</v>
      </c>
      <c r="Q66" s="898">
        <v>0</v>
      </c>
      <c r="R66" s="924"/>
    </row>
    <row r="67" spans="1:18">
      <c r="A67" s="809">
        <v>2</v>
      </c>
      <c r="B67" s="874"/>
      <c r="C67" s="912"/>
      <c r="D67" s="874" t="s">
        <v>1412</v>
      </c>
      <c r="E67" s="874"/>
      <c r="F67" s="874"/>
      <c r="G67" s="874"/>
      <c r="H67" s="874"/>
      <c r="I67" s="874"/>
      <c r="J67" s="874"/>
      <c r="K67" s="874"/>
      <c r="L67" s="921" t="s">
        <v>461</v>
      </c>
      <c r="M67" s="926" t="s">
        <v>462</v>
      </c>
      <c r="N67" s="878"/>
      <c r="O67" s="878" t="s">
        <v>352</v>
      </c>
      <c r="P67" s="898"/>
      <c r="Q67" s="898">
        <v>0</v>
      </c>
      <c r="R67" s="924"/>
    </row>
    <row r="68" spans="1:18" ht="22.8">
      <c r="A68" s="809">
        <v>2</v>
      </c>
      <c r="B68" s="874"/>
      <c r="C68" s="912"/>
      <c r="D68" s="874" t="s">
        <v>1413</v>
      </c>
      <c r="E68" s="874"/>
      <c r="F68" s="874"/>
      <c r="G68" s="874"/>
      <c r="H68" s="874"/>
      <c r="I68" s="874"/>
      <c r="J68" s="874"/>
      <c r="K68" s="874"/>
      <c r="L68" s="921" t="s">
        <v>463</v>
      </c>
      <c r="M68" s="926" t="s">
        <v>464</v>
      </c>
      <c r="N68" s="878"/>
      <c r="O68" s="878" t="s">
        <v>352</v>
      </c>
      <c r="P68" s="898">
        <v>0</v>
      </c>
      <c r="Q68" s="898">
        <v>0</v>
      </c>
      <c r="R68" s="924"/>
    </row>
    <row r="69" spans="1:18" ht="79.8">
      <c r="A69" s="809">
        <v>2</v>
      </c>
      <c r="B69" s="927" t="s">
        <v>1361</v>
      </c>
      <c r="C69" s="912"/>
      <c r="D69" s="911" t="s">
        <v>1414</v>
      </c>
      <c r="E69" s="874"/>
      <c r="F69" s="874"/>
      <c r="G69" s="874"/>
      <c r="H69" s="874"/>
      <c r="I69" s="874"/>
      <c r="J69" s="874"/>
      <c r="K69" s="874"/>
      <c r="L69" s="921" t="s">
        <v>465</v>
      </c>
      <c r="M69" s="926" t="s">
        <v>466</v>
      </c>
      <c r="N69" s="878"/>
      <c r="O69" s="878" t="s">
        <v>352</v>
      </c>
      <c r="P69" s="898"/>
      <c r="Q69" s="898">
        <v>0</v>
      </c>
      <c r="R69" s="924"/>
    </row>
    <row r="70" spans="1:18" ht="22.8">
      <c r="A70" s="809">
        <v>2</v>
      </c>
      <c r="B70" s="927" t="s">
        <v>619</v>
      </c>
      <c r="C70" s="912"/>
      <c r="D70" s="911" t="s">
        <v>1415</v>
      </c>
      <c r="E70" s="874"/>
      <c r="F70" s="874"/>
      <c r="G70" s="874"/>
      <c r="H70" s="874"/>
      <c r="I70" s="874"/>
      <c r="J70" s="874"/>
      <c r="K70" s="874"/>
      <c r="L70" s="921" t="s">
        <v>467</v>
      </c>
      <c r="M70" s="926" t="s">
        <v>468</v>
      </c>
      <c r="N70" s="878"/>
      <c r="O70" s="878" t="s">
        <v>352</v>
      </c>
      <c r="P70" s="898"/>
      <c r="Q70" s="898">
        <v>0</v>
      </c>
      <c r="R70" s="924"/>
    </row>
    <row r="71" spans="1:18" ht="22.8">
      <c r="A71" s="809">
        <v>2</v>
      </c>
      <c r="B71" s="927" t="s">
        <v>622</v>
      </c>
      <c r="C71" s="912"/>
      <c r="D71" s="911" t="s">
        <v>1416</v>
      </c>
      <c r="E71" s="874"/>
      <c r="F71" s="874"/>
      <c r="G71" s="874"/>
      <c r="H71" s="874"/>
      <c r="I71" s="874"/>
      <c r="J71" s="874"/>
      <c r="K71" s="874"/>
      <c r="L71" s="921" t="s">
        <v>469</v>
      </c>
      <c r="M71" s="926" t="s">
        <v>1163</v>
      </c>
      <c r="N71" s="878"/>
      <c r="O71" s="878" t="s">
        <v>352</v>
      </c>
      <c r="P71" s="898"/>
      <c r="Q71" s="898">
        <v>0</v>
      </c>
      <c r="R71" s="924"/>
    </row>
    <row r="72" spans="1:18" ht="22.8">
      <c r="A72" s="809">
        <v>2</v>
      </c>
      <c r="B72" s="927" t="s">
        <v>623</v>
      </c>
      <c r="C72" s="912"/>
      <c r="D72" s="911" t="s">
        <v>1417</v>
      </c>
      <c r="E72" s="874"/>
      <c r="F72" s="874"/>
      <c r="G72" s="874"/>
      <c r="H72" s="874"/>
      <c r="I72" s="874"/>
      <c r="J72" s="874"/>
      <c r="K72" s="874"/>
      <c r="L72" s="921" t="s">
        <v>470</v>
      </c>
      <c r="M72" s="926" t="s">
        <v>1164</v>
      </c>
      <c r="N72" s="878"/>
      <c r="O72" s="878" t="s">
        <v>352</v>
      </c>
      <c r="P72" s="898"/>
      <c r="Q72" s="898">
        <v>0</v>
      </c>
      <c r="R72" s="924"/>
    </row>
    <row r="73" spans="1:18" ht="22.8">
      <c r="A73" s="809">
        <v>2</v>
      </c>
      <c r="B73" s="927" t="s">
        <v>624</v>
      </c>
      <c r="C73" s="912"/>
      <c r="D73" s="911" t="s">
        <v>1418</v>
      </c>
      <c r="E73" s="874"/>
      <c r="F73" s="874"/>
      <c r="G73" s="874"/>
      <c r="H73" s="874"/>
      <c r="I73" s="874"/>
      <c r="J73" s="874"/>
      <c r="K73" s="874"/>
      <c r="L73" s="921" t="s">
        <v>471</v>
      </c>
      <c r="M73" s="926" t="s">
        <v>472</v>
      </c>
      <c r="N73" s="928"/>
      <c r="O73" s="878" t="s">
        <v>352</v>
      </c>
      <c r="P73" s="898"/>
      <c r="Q73" s="898">
        <v>0</v>
      </c>
      <c r="R73" s="924"/>
    </row>
    <row r="74" spans="1:18" ht="22.8">
      <c r="A74" s="809">
        <v>2</v>
      </c>
      <c r="B74" s="927" t="s">
        <v>625</v>
      </c>
      <c r="C74" s="912"/>
      <c r="D74" s="911" t="s">
        <v>1419</v>
      </c>
      <c r="E74" s="874"/>
      <c r="F74" s="874"/>
      <c r="G74" s="874"/>
      <c r="H74" s="874"/>
      <c r="I74" s="874"/>
      <c r="J74" s="874"/>
      <c r="K74" s="874"/>
      <c r="L74" s="921" t="s">
        <v>473</v>
      </c>
      <c r="M74" s="926" t="s">
        <v>474</v>
      </c>
      <c r="N74" s="928"/>
      <c r="O74" s="878" t="s">
        <v>352</v>
      </c>
      <c r="P74" s="898"/>
      <c r="Q74" s="898">
        <v>0</v>
      </c>
      <c r="R74" s="924"/>
    </row>
    <row r="75" spans="1:18">
      <c r="A75" s="809">
        <v>2</v>
      </c>
      <c r="B75" s="927" t="s">
        <v>627</v>
      </c>
      <c r="C75" s="912"/>
      <c r="D75" s="911" t="s">
        <v>1420</v>
      </c>
      <c r="E75" s="874"/>
      <c r="F75" s="874"/>
      <c r="G75" s="874"/>
      <c r="H75" s="874"/>
      <c r="I75" s="874"/>
      <c r="J75" s="874"/>
      <c r="K75" s="874"/>
      <c r="L75" s="921" t="s">
        <v>475</v>
      </c>
      <c r="M75" s="926" t="s">
        <v>476</v>
      </c>
      <c r="N75" s="928"/>
      <c r="O75" s="878" t="s">
        <v>352</v>
      </c>
      <c r="P75" s="898"/>
      <c r="Q75" s="898">
        <v>0</v>
      </c>
      <c r="R75" s="924"/>
    </row>
    <row r="76" spans="1:18" ht="34.200000000000003">
      <c r="A76" s="809">
        <v>2</v>
      </c>
      <c r="B76" s="927" t="s">
        <v>1362</v>
      </c>
      <c r="C76" s="912"/>
      <c r="D76" s="911" t="s">
        <v>1421</v>
      </c>
      <c r="E76" s="874"/>
      <c r="F76" s="874"/>
      <c r="G76" s="874"/>
      <c r="H76" s="874"/>
      <c r="I76" s="874"/>
      <c r="J76" s="874"/>
      <c r="K76" s="874"/>
      <c r="L76" s="921" t="s">
        <v>477</v>
      </c>
      <c r="M76" s="926" t="s">
        <v>478</v>
      </c>
      <c r="N76" s="928"/>
      <c r="O76" s="878" t="s">
        <v>352</v>
      </c>
      <c r="P76" s="898"/>
      <c r="Q76" s="898">
        <v>0</v>
      </c>
      <c r="R76" s="924"/>
    </row>
    <row r="77" spans="1:18">
      <c r="A77" s="809">
        <v>2</v>
      </c>
      <c r="B77" s="874"/>
      <c r="C77" s="912"/>
      <c r="D77" s="874" t="s">
        <v>1422</v>
      </c>
      <c r="E77" s="874"/>
      <c r="F77" s="874"/>
      <c r="G77" s="874"/>
      <c r="H77" s="874"/>
      <c r="I77" s="874"/>
      <c r="J77" s="874"/>
      <c r="K77" s="874"/>
      <c r="L77" s="921" t="s">
        <v>151</v>
      </c>
      <c r="M77" s="929" t="s">
        <v>479</v>
      </c>
      <c r="N77" s="923" t="s">
        <v>3061</v>
      </c>
      <c r="O77" s="878" t="s">
        <v>352</v>
      </c>
      <c r="P77" s="899">
        <v>0</v>
      </c>
      <c r="Q77" s="899">
        <v>0</v>
      </c>
      <c r="R77" s="924"/>
    </row>
    <row r="78" spans="1:18" ht="22.8">
      <c r="A78" s="809">
        <v>2</v>
      </c>
      <c r="B78" s="874"/>
      <c r="C78" s="912"/>
      <c r="D78" s="874" t="s">
        <v>1423</v>
      </c>
      <c r="E78" s="874"/>
      <c r="F78" s="874"/>
      <c r="G78" s="874"/>
      <c r="H78" s="874"/>
      <c r="I78" s="874"/>
      <c r="J78" s="874"/>
      <c r="K78" s="874"/>
      <c r="L78" s="921" t="s">
        <v>152</v>
      </c>
      <c r="M78" s="926" t="s">
        <v>481</v>
      </c>
      <c r="N78" s="923" t="s">
        <v>482</v>
      </c>
      <c r="O78" s="878" t="s">
        <v>483</v>
      </c>
      <c r="P78" s="898"/>
      <c r="Q78" s="898">
        <v>0</v>
      </c>
      <c r="R78" s="924"/>
    </row>
    <row r="79" spans="1:18">
      <c r="A79" s="809">
        <v>2</v>
      </c>
      <c r="B79" s="874"/>
      <c r="C79" s="912"/>
      <c r="D79" s="874" t="s">
        <v>1424</v>
      </c>
      <c r="E79" s="874"/>
      <c r="F79" s="874"/>
      <c r="G79" s="874"/>
      <c r="H79" s="874"/>
      <c r="I79" s="874"/>
      <c r="J79" s="874"/>
      <c r="K79" s="874"/>
      <c r="L79" s="921" t="s">
        <v>604</v>
      </c>
      <c r="M79" s="926" t="s">
        <v>1152</v>
      </c>
      <c r="N79" s="923" t="s">
        <v>484</v>
      </c>
      <c r="O79" s="878" t="s">
        <v>485</v>
      </c>
      <c r="P79" s="898"/>
      <c r="Q79" s="898">
        <v>0</v>
      </c>
      <c r="R79" s="924"/>
    </row>
    <row r="80" spans="1:18" ht="22.8">
      <c r="A80" s="809">
        <v>2</v>
      </c>
      <c r="B80" s="874"/>
      <c r="C80" s="912"/>
      <c r="D80" s="874" t="s">
        <v>1425</v>
      </c>
      <c r="E80" s="874"/>
      <c r="F80" s="874"/>
      <c r="G80" s="874"/>
      <c r="H80" s="874"/>
      <c r="I80" s="874"/>
      <c r="J80" s="874"/>
      <c r="K80" s="874"/>
      <c r="L80" s="921" t="s">
        <v>606</v>
      </c>
      <c r="M80" s="926" t="s">
        <v>1094</v>
      </c>
      <c r="N80" s="923" t="s">
        <v>486</v>
      </c>
      <c r="O80" s="878" t="s">
        <v>487</v>
      </c>
      <c r="P80" s="898"/>
      <c r="Q80" s="898">
        <v>0</v>
      </c>
      <c r="R80" s="924"/>
    </row>
    <row r="81" spans="1:18" ht="22.8">
      <c r="A81" s="809">
        <v>2</v>
      </c>
      <c r="B81" s="874" t="s">
        <v>1079</v>
      </c>
      <c r="C81" s="912"/>
      <c r="D81" s="874" t="s">
        <v>1426</v>
      </c>
      <c r="E81" s="874"/>
      <c r="F81" s="874"/>
      <c r="G81" s="874"/>
      <c r="H81" s="874"/>
      <c r="I81" s="874"/>
      <c r="J81" s="874"/>
      <c r="K81" s="874"/>
      <c r="L81" s="921" t="s">
        <v>153</v>
      </c>
      <c r="M81" s="922" t="s">
        <v>488</v>
      </c>
      <c r="N81" s="923" t="s">
        <v>3062</v>
      </c>
      <c r="O81" s="878" t="s">
        <v>352</v>
      </c>
      <c r="P81" s="898"/>
      <c r="Q81" s="898">
        <v>0</v>
      </c>
      <c r="R81" s="924"/>
    </row>
    <row r="82" spans="1:18">
      <c r="A82" s="809">
        <v>2</v>
      </c>
      <c r="B82" s="874"/>
      <c r="C82" s="912"/>
      <c r="D82" s="874" t="s">
        <v>1427</v>
      </c>
      <c r="E82" s="874"/>
      <c r="F82" s="874"/>
      <c r="G82" s="874"/>
      <c r="H82" s="874"/>
      <c r="I82" s="874"/>
      <c r="J82" s="874"/>
      <c r="K82" s="874"/>
      <c r="L82" s="921" t="s">
        <v>367</v>
      </c>
      <c r="M82" s="930" t="s">
        <v>490</v>
      </c>
      <c r="N82" s="923" t="s">
        <v>3063</v>
      </c>
      <c r="O82" s="878" t="s">
        <v>352</v>
      </c>
      <c r="P82" s="898"/>
      <c r="Q82" s="898">
        <v>0</v>
      </c>
      <c r="R82" s="924"/>
    </row>
    <row r="83" spans="1:18" ht="22.8">
      <c r="A83" s="809">
        <v>2</v>
      </c>
      <c r="B83" s="927" t="s">
        <v>641</v>
      </c>
      <c r="C83" s="912"/>
      <c r="D83" s="911" t="s">
        <v>1428</v>
      </c>
      <c r="E83" s="874"/>
      <c r="F83" s="874"/>
      <c r="G83" s="874"/>
      <c r="H83" s="874"/>
      <c r="I83" s="874"/>
      <c r="J83" s="874"/>
      <c r="K83" s="874"/>
      <c r="L83" s="921" t="s">
        <v>492</v>
      </c>
      <c r="M83" s="922" t="s">
        <v>1165</v>
      </c>
      <c r="N83" s="923" t="s">
        <v>3064</v>
      </c>
      <c r="O83" s="878" t="s">
        <v>352</v>
      </c>
      <c r="P83" s="898"/>
      <c r="Q83" s="898">
        <v>0</v>
      </c>
      <c r="R83" s="924"/>
    </row>
    <row r="84" spans="1:18" ht="22.8">
      <c r="A84" s="809">
        <v>2</v>
      </c>
      <c r="B84" s="927"/>
      <c r="C84" s="912"/>
      <c r="D84" s="874" t="s">
        <v>1429</v>
      </c>
      <c r="E84" s="874"/>
      <c r="F84" s="874"/>
      <c r="G84" s="874"/>
      <c r="H84" s="874"/>
      <c r="I84" s="874"/>
      <c r="J84" s="874"/>
      <c r="K84" s="874"/>
      <c r="L84" s="921" t="s">
        <v>494</v>
      </c>
      <c r="M84" s="922" t="s">
        <v>1430</v>
      </c>
      <c r="N84" s="923"/>
      <c r="O84" s="878" t="s">
        <v>352</v>
      </c>
      <c r="P84" s="898"/>
      <c r="Q84" s="898">
        <v>-3.4</v>
      </c>
      <c r="R84" s="924"/>
    </row>
    <row r="85" spans="1:18" ht="34.200000000000003">
      <c r="A85" s="809">
        <v>2</v>
      </c>
      <c r="B85" s="874"/>
      <c r="C85" s="912"/>
      <c r="D85" s="874" t="s">
        <v>1431</v>
      </c>
      <c r="E85" s="874"/>
      <c r="F85" s="874"/>
      <c r="G85" s="874"/>
      <c r="H85" s="874"/>
      <c r="I85" s="874"/>
      <c r="J85" s="874"/>
      <c r="K85" s="874"/>
      <c r="L85" s="921" t="s">
        <v>1432</v>
      </c>
      <c r="M85" s="926" t="s">
        <v>495</v>
      </c>
      <c r="N85" s="923" t="s">
        <v>3065</v>
      </c>
      <c r="O85" s="878" t="s">
        <v>352</v>
      </c>
      <c r="P85" s="898"/>
      <c r="Q85" s="898"/>
      <c r="R85" s="924"/>
    </row>
    <row r="86" spans="1:18" ht="22.8">
      <c r="A86" s="809">
        <v>2</v>
      </c>
      <c r="B86" s="874"/>
      <c r="C86" s="912"/>
      <c r="D86" s="874" t="s">
        <v>1433</v>
      </c>
      <c r="E86" s="874"/>
      <c r="F86" s="874"/>
      <c r="G86" s="874"/>
      <c r="H86" s="874"/>
      <c r="I86" s="874"/>
      <c r="J86" s="874"/>
      <c r="K86" s="874"/>
      <c r="L86" s="921" t="s">
        <v>1434</v>
      </c>
      <c r="M86" s="926" t="s">
        <v>498</v>
      </c>
      <c r="N86" s="923" t="s">
        <v>3066</v>
      </c>
      <c r="O86" s="878" t="s">
        <v>352</v>
      </c>
      <c r="P86" s="898"/>
      <c r="Q86" s="898"/>
      <c r="R86" s="924"/>
    </row>
    <row r="87" spans="1:18" ht="57">
      <c r="A87" s="809">
        <v>2</v>
      </c>
      <c r="B87" s="874"/>
      <c r="C87" s="912"/>
      <c r="D87" s="874" t="s">
        <v>1435</v>
      </c>
      <c r="E87" s="874"/>
      <c r="F87" s="874"/>
      <c r="G87" s="874"/>
      <c r="H87" s="874"/>
      <c r="I87" s="874"/>
      <c r="J87" s="874"/>
      <c r="K87" s="874"/>
      <c r="L87" s="921" t="s">
        <v>1436</v>
      </c>
      <c r="M87" s="926" t="s">
        <v>1215</v>
      </c>
      <c r="N87" s="878" t="s">
        <v>1214</v>
      </c>
      <c r="O87" s="878" t="s">
        <v>352</v>
      </c>
      <c r="P87" s="898"/>
      <c r="Q87" s="898"/>
      <c r="R87" s="924"/>
    </row>
    <row r="88" spans="1:18" ht="22.8">
      <c r="A88" s="809">
        <v>2</v>
      </c>
      <c r="B88" s="874"/>
      <c r="C88" s="912"/>
      <c r="D88" s="874" t="s">
        <v>1437</v>
      </c>
      <c r="E88" s="874"/>
      <c r="F88" s="874"/>
      <c r="G88" s="874"/>
      <c r="H88" s="874"/>
      <c r="I88" s="874"/>
      <c r="J88" s="874"/>
      <c r="K88" s="874"/>
      <c r="L88" s="921" t="s">
        <v>500</v>
      </c>
      <c r="M88" s="929" t="s">
        <v>1212</v>
      </c>
      <c r="N88" s="878" t="s">
        <v>1213</v>
      </c>
      <c r="O88" s="878" t="s">
        <v>352</v>
      </c>
      <c r="P88" s="898"/>
      <c r="Q88" s="898">
        <v>-43.27</v>
      </c>
      <c r="R88" s="924"/>
    </row>
    <row r="89" spans="1:18" s="263" customFormat="1" ht="34.200000000000003">
      <c r="A89" s="809">
        <v>2</v>
      </c>
      <c r="B89" s="884"/>
      <c r="C89" s="884"/>
      <c r="D89" s="874" t="s">
        <v>1438</v>
      </c>
      <c r="E89" s="884"/>
      <c r="F89" s="884"/>
      <c r="G89" s="884"/>
      <c r="H89" s="884"/>
      <c r="I89" s="884"/>
      <c r="J89" s="884"/>
      <c r="K89" s="884"/>
      <c r="L89" s="914" t="s">
        <v>501</v>
      </c>
      <c r="M89" s="920" t="s">
        <v>502</v>
      </c>
      <c r="N89" s="914" t="s">
        <v>3056</v>
      </c>
      <c r="O89" s="916" t="s">
        <v>352</v>
      </c>
      <c r="P89" s="896">
        <v>0</v>
      </c>
      <c r="Q89" s="896">
        <v>0</v>
      </c>
      <c r="R89" s="917"/>
    </row>
    <row r="90" spans="1:18" ht="34.200000000000003">
      <c r="A90" s="809">
        <v>2</v>
      </c>
      <c r="B90" s="874"/>
      <c r="C90" s="912"/>
      <c r="D90" s="874" t="s">
        <v>1439</v>
      </c>
      <c r="E90" s="874"/>
      <c r="F90" s="874"/>
      <c r="G90" s="874"/>
      <c r="H90" s="874"/>
      <c r="I90" s="874"/>
      <c r="J90" s="874"/>
      <c r="K90" s="874"/>
      <c r="L90" s="921" t="s">
        <v>18</v>
      </c>
      <c r="M90" s="931" t="s">
        <v>503</v>
      </c>
      <c r="N90" s="923" t="s">
        <v>3067</v>
      </c>
      <c r="O90" s="878" t="s">
        <v>352</v>
      </c>
      <c r="P90" s="925">
        <v>0</v>
      </c>
      <c r="Q90" s="925">
        <v>0</v>
      </c>
      <c r="R90" s="924"/>
    </row>
    <row r="91" spans="1:18" ht="57">
      <c r="A91" s="809">
        <v>2</v>
      </c>
      <c r="B91" s="874"/>
      <c r="C91" s="912"/>
      <c r="D91" s="874" t="s">
        <v>1440</v>
      </c>
      <c r="E91" s="874"/>
      <c r="F91" s="874"/>
      <c r="G91" s="874"/>
      <c r="H91" s="874"/>
      <c r="I91" s="874"/>
      <c r="J91" s="874"/>
      <c r="K91" s="874"/>
      <c r="L91" s="921" t="s">
        <v>149</v>
      </c>
      <c r="M91" s="929" t="s">
        <v>505</v>
      </c>
      <c r="N91" s="923" t="s">
        <v>3068</v>
      </c>
      <c r="O91" s="878" t="s">
        <v>352</v>
      </c>
      <c r="P91" s="898"/>
      <c r="Q91" s="898"/>
      <c r="R91" s="924"/>
    </row>
    <row r="92" spans="1:18" ht="45.6">
      <c r="A92" s="809">
        <v>2</v>
      </c>
      <c r="B92" s="874"/>
      <c r="C92" s="912"/>
      <c r="D92" s="874" t="s">
        <v>1441</v>
      </c>
      <c r="E92" s="874"/>
      <c r="F92" s="874"/>
      <c r="G92" s="874"/>
      <c r="H92" s="874"/>
      <c r="I92" s="874"/>
      <c r="J92" s="874"/>
      <c r="K92" s="874"/>
      <c r="L92" s="921" t="s">
        <v>150</v>
      </c>
      <c r="M92" s="929" t="s">
        <v>507</v>
      </c>
      <c r="N92" s="923" t="s">
        <v>3069</v>
      </c>
      <c r="O92" s="878" t="s">
        <v>352</v>
      </c>
      <c r="P92" s="898"/>
      <c r="Q92" s="898"/>
      <c r="R92" s="924"/>
    </row>
    <row r="93" spans="1:18" ht="34.200000000000003">
      <c r="A93" s="809">
        <v>2</v>
      </c>
      <c r="B93" s="874"/>
      <c r="C93" s="912"/>
      <c r="D93" s="874" t="s">
        <v>1442</v>
      </c>
      <c r="E93" s="874"/>
      <c r="F93" s="874"/>
      <c r="G93" s="874"/>
      <c r="H93" s="874"/>
      <c r="I93" s="874"/>
      <c r="J93" s="874"/>
      <c r="K93" s="874"/>
      <c r="L93" s="878" t="s">
        <v>1131</v>
      </c>
      <c r="M93" s="932" t="s">
        <v>1194</v>
      </c>
      <c r="N93" s="923" t="s">
        <v>3070</v>
      </c>
      <c r="O93" s="878" t="s">
        <v>352</v>
      </c>
      <c r="P93" s="869"/>
      <c r="Q93" s="869"/>
      <c r="R93" s="924"/>
    </row>
    <row r="94" spans="1:18" ht="136.80000000000001">
      <c r="A94" s="809">
        <v>2</v>
      </c>
      <c r="B94" s="874"/>
      <c r="C94" s="912"/>
      <c r="D94" s="874" t="s">
        <v>1444</v>
      </c>
      <c r="E94" s="874"/>
      <c r="F94" s="874"/>
      <c r="G94" s="874"/>
      <c r="H94" s="874"/>
      <c r="I94" s="874"/>
      <c r="J94" s="874"/>
      <c r="K94" s="874"/>
      <c r="L94" s="878" t="s">
        <v>1132</v>
      </c>
      <c r="M94" s="932" t="s">
        <v>509</v>
      </c>
      <c r="N94" s="923" t="s">
        <v>3071</v>
      </c>
      <c r="O94" s="878" t="s">
        <v>352</v>
      </c>
      <c r="P94" s="869"/>
      <c r="Q94" s="869"/>
      <c r="R94" s="924"/>
    </row>
    <row r="95" spans="1:18" ht="91.2">
      <c r="A95" s="809">
        <v>2</v>
      </c>
      <c r="B95" s="874"/>
      <c r="C95" s="933" t="b">
        <v>1</v>
      </c>
      <c r="D95" s="874" t="s">
        <v>1446</v>
      </c>
      <c r="E95" s="874"/>
      <c r="F95" s="874"/>
      <c r="G95" s="874"/>
      <c r="H95" s="874"/>
      <c r="I95" s="874"/>
      <c r="J95" s="874"/>
      <c r="K95" s="874"/>
      <c r="L95" s="878" t="s">
        <v>1447</v>
      </c>
      <c r="M95" s="932" t="s">
        <v>1153</v>
      </c>
      <c r="N95" s="923"/>
      <c r="O95" s="878" t="s">
        <v>352</v>
      </c>
      <c r="P95" s="869"/>
      <c r="Q95" s="811">
        <v>0</v>
      </c>
      <c r="R95" s="924"/>
    </row>
    <row r="96" spans="1:18" ht="57">
      <c r="A96" s="809">
        <v>2</v>
      </c>
      <c r="B96" s="874"/>
      <c r="C96" s="933" t="b">
        <v>1</v>
      </c>
      <c r="D96" s="874" t="s">
        <v>1448</v>
      </c>
      <c r="E96" s="874"/>
      <c r="F96" s="874"/>
      <c r="G96" s="874"/>
      <c r="H96" s="874"/>
      <c r="I96" s="874"/>
      <c r="J96" s="874"/>
      <c r="K96" s="874"/>
      <c r="L96" s="878" t="s">
        <v>1449</v>
      </c>
      <c r="M96" s="932" t="s">
        <v>646</v>
      </c>
      <c r="N96" s="923"/>
      <c r="O96" s="878" t="s">
        <v>352</v>
      </c>
      <c r="P96" s="869"/>
      <c r="Q96" s="811">
        <v>0</v>
      </c>
      <c r="R96" s="924"/>
    </row>
    <row r="97" spans="1:18">
      <c r="A97" s="809">
        <v>2</v>
      </c>
      <c r="B97" s="874"/>
      <c r="C97" s="912"/>
      <c r="D97" s="874" t="s">
        <v>1450</v>
      </c>
      <c r="E97" s="874"/>
      <c r="F97" s="874"/>
      <c r="G97" s="874"/>
      <c r="H97" s="874"/>
      <c r="I97" s="874"/>
      <c r="J97" s="874"/>
      <c r="K97" s="874"/>
      <c r="L97" s="878" t="s">
        <v>1451</v>
      </c>
      <c r="M97" s="932" t="s">
        <v>647</v>
      </c>
      <c r="N97" s="923"/>
      <c r="O97" s="878" t="s">
        <v>352</v>
      </c>
      <c r="P97" s="869"/>
      <c r="Q97" s="869"/>
      <c r="R97" s="924"/>
    </row>
    <row r="98" spans="1:18" s="263" customFormat="1" ht="22.8">
      <c r="A98" s="809">
        <v>2</v>
      </c>
      <c r="B98" s="884"/>
      <c r="C98" s="884"/>
      <c r="D98" s="884" t="s">
        <v>1452</v>
      </c>
      <c r="E98" s="884"/>
      <c r="F98" s="884"/>
      <c r="G98" s="884"/>
      <c r="H98" s="884"/>
      <c r="I98" s="884"/>
      <c r="J98" s="884"/>
      <c r="K98" s="884"/>
      <c r="L98" s="916" t="s">
        <v>1453</v>
      </c>
      <c r="M98" s="920" t="s">
        <v>648</v>
      </c>
      <c r="N98" s="914"/>
      <c r="O98" s="916" t="s">
        <v>352</v>
      </c>
      <c r="P98" s="934">
        <v>0</v>
      </c>
      <c r="Q98" s="934">
        <v>0</v>
      </c>
      <c r="R98" s="917"/>
    </row>
    <row r="99" spans="1:18" ht="22.8">
      <c r="A99" s="809">
        <v>2</v>
      </c>
      <c r="B99" s="874"/>
      <c r="C99" s="912"/>
      <c r="D99" s="874" t="s">
        <v>1454</v>
      </c>
      <c r="E99" s="874"/>
      <c r="F99" s="874"/>
      <c r="G99" s="874"/>
      <c r="H99" s="874"/>
      <c r="I99" s="874"/>
      <c r="J99" s="874"/>
      <c r="K99" s="874"/>
      <c r="L99" s="878">
        <v>1</v>
      </c>
      <c r="M99" s="929" t="s">
        <v>649</v>
      </c>
      <c r="N99" s="923"/>
      <c r="O99" s="878" t="s">
        <v>352</v>
      </c>
      <c r="P99" s="869"/>
      <c r="Q99" s="869"/>
      <c r="R99" s="924"/>
    </row>
    <row r="100" spans="1:18" ht="22.8">
      <c r="A100" s="809">
        <v>2</v>
      </c>
      <c r="B100" s="874"/>
      <c r="C100" s="912"/>
      <c r="D100" s="874" t="s">
        <v>1455</v>
      </c>
      <c r="E100" s="874"/>
      <c r="F100" s="874"/>
      <c r="G100" s="874"/>
      <c r="H100" s="874"/>
      <c r="I100" s="874"/>
      <c r="J100" s="874"/>
      <c r="K100" s="874"/>
      <c r="L100" s="878">
        <v>2</v>
      </c>
      <c r="M100" s="929" t="s">
        <v>650</v>
      </c>
      <c r="N100" s="923"/>
      <c r="O100" s="878" t="s">
        <v>352</v>
      </c>
      <c r="P100" s="869"/>
      <c r="Q100" s="869"/>
      <c r="R100" s="924"/>
    </row>
    <row r="101" spans="1:18" ht="22.8">
      <c r="A101" s="809">
        <v>2</v>
      </c>
      <c r="B101" s="874"/>
      <c r="C101" s="912"/>
      <c r="D101" s="874" t="s">
        <v>1456</v>
      </c>
      <c r="E101" s="874"/>
      <c r="F101" s="874"/>
      <c r="G101" s="874"/>
      <c r="H101" s="874"/>
      <c r="I101" s="874"/>
      <c r="J101" s="874"/>
      <c r="K101" s="874"/>
      <c r="L101" s="878" t="s">
        <v>1457</v>
      </c>
      <c r="M101" s="932" t="s">
        <v>651</v>
      </c>
      <c r="N101" s="923"/>
      <c r="O101" s="878" t="s">
        <v>352</v>
      </c>
      <c r="P101" s="869"/>
      <c r="Q101" s="869"/>
      <c r="R101" s="924"/>
    </row>
    <row r="102" spans="1:18">
      <c r="A102" s="809">
        <v>2</v>
      </c>
      <c r="B102" s="874"/>
      <c r="C102" s="912"/>
      <c r="D102" s="874" t="s">
        <v>1458</v>
      </c>
      <c r="E102" s="874"/>
      <c r="F102" s="874"/>
      <c r="G102" s="874"/>
      <c r="H102" s="874"/>
      <c r="I102" s="874"/>
      <c r="J102" s="874"/>
      <c r="K102" s="874"/>
      <c r="L102" s="878" t="s">
        <v>1459</v>
      </c>
      <c r="M102" s="932" t="s">
        <v>652</v>
      </c>
      <c r="N102" s="923"/>
      <c r="O102" s="878" t="s">
        <v>352</v>
      </c>
      <c r="P102" s="869"/>
      <c r="Q102" s="869"/>
      <c r="R102" s="924"/>
    </row>
    <row r="103" spans="1:18" s="263" customFormat="1">
      <c r="A103" s="809">
        <v>2</v>
      </c>
      <c r="B103" s="884"/>
      <c r="C103" s="884"/>
      <c r="D103" s="884" t="s">
        <v>1460</v>
      </c>
      <c r="E103" s="884"/>
      <c r="F103" s="884"/>
      <c r="G103" s="884"/>
      <c r="H103" s="884"/>
      <c r="I103" s="884"/>
      <c r="J103" s="884"/>
      <c r="K103" s="884"/>
      <c r="L103" s="916" t="s">
        <v>1461</v>
      </c>
      <c r="M103" s="920" t="s">
        <v>1462</v>
      </c>
      <c r="N103" s="914"/>
      <c r="O103" s="916" t="s">
        <v>352</v>
      </c>
      <c r="P103" s="935">
        <v>0</v>
      </c>
      <c r="Q103" s="935">
        <v>-195.99100000000021</v>
      </c>
      <c r="R103" s="917"/>
    </row>
    <row r="104" spans="1:18">
      <c r="A104" s="874"/>
      <c r="B104" s="874"/>
      <c r="C104" s="874"/>
      <c r="D104" s="874"/>
      <c r="E104" s="874"/>
      <c r="F104" s="874"/>
      <c r="G104" s="874"/>
      <c r="H104" s="874"/>
      <c r="I104" s="874"/>
      <c r="J104" s="874"/>
      <c r="K104" s="874"/>
      <c r="L104" s="890"/>
      <c r="M104" s="874"/>
      <c r="N104" s="874"/>
      <c r="O104" s="874"/>
      <c r="P104" s="874"/>
      <c r="Q104" s="874"/>
      <c r="R104" s="874"/>
    </row>
    <row r="105" spans="1:18" ht="15" customHeight="1">
      <c r="A105" s="874"/>
      <c r="B105" s="874"/>
      <c r="C105" s="874"/>
      <c r="D105" s="874"/>
      <c r="E105" s="874"/>
      <c r="F105" s="874"/>
      <c r="G105" s="874"/>
      <c r="H105" s="874"/>
      <c r="I105" s="874"/>
      <c r="J105" s="874"/>
      <c r="K105" s="874"/>
      <c r="L105" s="1137" t="s">
        <v>1367</v>
      </c>
      <c r="M105" s="1137"/>
      <c r="N105" s="1137"/>
      <c r="O105" s="1137"/>
      <c r="P105" s="1137"/>
      <c r="Q105" s="1137"/>
      <c r="R105" s="1137"/>
    </row>
    <row r="106" spans="1:18" ht="44.4" customHeight="1">
      <c r="A106" s="874"/>
      <c r="B106" s="874"/>
      <c r="C106" s="874"/>
      <c r="D106" s="874"/>
      <c r="E106" s="874"/>
      <c r="F106" s="874"/>
      <c r="G106" s="874"/>
      <c r="H106" s="874"/>
      <c r="I106" s="874"/>
      <c r="J106" s="874"/>
      <c r="K106" s="662"/>
      <c r="L106" s="1147" t="s">
        <v>2987</v>
      </c>
      <c r="M106" s="1139"/>
      <c r="N106" s="1139"/>
      <c r="O106" s="1139"/>
      <c r="P106" s="1139"/>
      <c r="Q106" s="1139"/>
      <c r="R106" s="1139"/>
    </row>
    <row r="107" spans="1:18" ht="58.8" customHeight="1">
      <c r="A107" s="874"/>
      <c r="B107" s="874"/>
      <c r="C107" s="874"/>
      <c r="D107" s="874"/>
      <c r="E107" s="874"/>
      <c r="F107" s="874"/>
      <c r="G107" s="874"/>
      <c r="H107" s="874"/>
      <c r="I107" s="874"/>
      <c r="J107" s="874"/>
      <c r="K107" s="662" t="s">
        <v>3055</v>
      </c>
      <c r="L107" s="1147" t="s">
        <v>2988</v>
      </c>
      <c r="M107" s="1139"/>
      <c r="N107" s="1139"/>
      <c r="O107" s="1139"/>
      <c r="P107" s="1139"/>
      <c r="Q107" s="1139"/>
      <c r="R107" s="1139"/>
    </row>
  </sheetData>
  <sheetProtection formatColumns="0" formatRows="0" autoFilter="0"/>
  <mergeCells count="8">
    <mergeCell ref="L105:R105"/>
    <mergeCell ref="L106:R106"/>
    <mergeCell ref="L107:R107"/>
    <mergeCell ref="R14:R15"/>
    <mergeCell ref="L14:L15"/>
    <mergeCell ref="M14:M15"/>
    <mergeCell ref="N14:N15"/>
    <mergeCell ref="O14:O15"/>
  </mergeCells>
  <dataValidations count="1">
    <dataValidation type="decimal" allowBlank="1" showErrorMessage="1" errorTitle="Ошибка" error="Допускается ввод только действительных чисел!" sqref="P23:Q32 P18:Q18 P34:Q44 P20:Q20 P47:Q59 P67:Q76 P91:Q103 P78:Q88 P64:Q64 P62:Q62">
      <formula1>-9.99999999999999E+23</formula1>
      <formula2>9.99999999999999E+23</formula2>
    </dataValidation>
  </dataValidations>
  <pageMargins left="0.35433070866141736" right="0.35433070866141736" top="0.39370078740157483" bottom="0.47244094488188981" header="0.31496062992125984" footer="0.31496062992125984"/>
  <pageSetup paperSize="9" scale="75" fitToWidth="0" fitToHeight="0" orientation="landscape" r:id="rId1"/>
  <headerFooter>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ummaryRight="0"/>
  </sheetPr>
  <dimension ref="A1:BA273"/>
  <sheetViews>
    <sheetView showGridLines="0" view="pageBreakPreview" zoomScale="90" zoomScaleNormal="100" zoomScaleSheetLayoutView="90" workbookViewId="0">
      <pane xSplit="14" ySplit="15" topLeftCell="O16" activePane="bottomRight" state="frozen"/>
      <selection activeCell="M11" sqref="M11"/>
      <selection pane="topRight" activeCell="M11" sqref="M11"/>
      <selection pane="bottomLeft" activeCell="M11" sqref="M11"/>
      <selection pane="bottomRight" activeCell="AD18" sqref="AD18"/>
    </sheetView>
  </sheetViews>
  <sheetFormatPr defaultColWidth="9.125" defaultRowHeight="10.199999999999999"/>
  <cols>
    <col min="1" max="10" width="2.75" style="104" hidden="1" customWidth="1"/>
    <col min="11" max="11" width="3.75" style="104" hidden="1" customWidth="1"/>
    <col min="12" max="12" width="8.75" style="102" customWidth="1"/>
    <col min="13" max="13" width="70.75" style="103" customWidth="1"/>
    <col min="14" max="14" width="12.75" style="102" customWidth="1"/>
    <col min="15" max="17" width="13.25" style="104" customWidth="1"/>
    <col min="18" max="18" width="19.75" style="104" customWidth="1"/>
    <col min="19" max="20" width="13.25" style="104" customWidth="1"/>
    <col min="21" max="29" width="13.25" style="104" hidden="1" customWidth="1"/>
    <col min="30" max="30" width="13.25" style="104" customWidth="1"/>
    <col min="31" max="39" width="13.25" style="104" hidden="1" customWidth="1"/>
    <col min="40" max="40" width="13.25" style="104" customWidth="1"/>
    <col min="41" max="49" width="13.25" style="104" hidden="1" customWidth="1"/>
    <col min="50" max="50" width="19.625" style="104" customWidth="1"/>
    <col min="51" max="51" width="17.875" style="104" customWidth="1"/>
    <col min="52" max="52" width="31.875" style="104" customWidth="1"/>
    <col min="53" max="53" width="17.875" style="104" customWidth="1"/>
    <col min="54" max="16384" width="9.125" style="104"/>
  </cols>
  <sheetData>
    <row r="1" spans="1:53" ht="11.4" hidden="1">
      <c r="A1" s="927"/>
      <c r="B1" s="927"/>
      <c r="C1" s="927"/>
      <c r="D1" s="927"/>
      <c r="E1" s="927"/>
      <c r="F1" s="927"/>
      <c r="G1" s="927"/>
      <c r="H1" s="927"/>
      <c r="I1" s="927"/>
      <c r="J1" s="927"/>
      <c r="K1" s="927"/>
      <c r="L1" s="936"/>
      <c r="M1" s="937"/>
      <c r="N1" s="936"/>
      <c r="O1" s="927">
        <v>2022</v>
      </c>
      <c r="P1" s="927">
        <v>2022</v>
      </c>
      <c r="Q1" s="927">
        <v>2022</v>
      </c>
      <c r="R1" s="927">
        <v>2022</v>
      </c>
      <c r="S1" s="781">
        <v>2023</v>
      </c>
      <c r="T1" s="781">
        <v>2024</v>
      </c>
      <c r="U1" s="781">
        <v>2025</v>
      </c>
      <c r="V1" s="781">
        <v>2026</v>
      </c>
      <c r="W1" s="781">
        <v>2027</v>
      </c>
      <c r="X1" s="781">
        <v>2028</v>
      </c>
      <c r="Y1" s="781">
        <v>2029</v>
      </c>
      <c r="Z1" s="781">
        <v>2030</v>
      </c>
      <c r="AA1" s="781">
        <v>2031</v>
      </c>
      <c r="AB1" s="781">
        <v>2032</v>
      </c>
      <c r="AC1" s="781">
        <v>2033</v>
      </c>
      <c r="AD1" s="781">
        <v>2024</v>
      </c>
      <c r="AE1" s="781">
        <v>2025</v>
      </c>
      <c r="AF1" s="781">
        <v>2026</v>
      </c>
      <c r="AG1" s="781">
        <v>2027</v>
      </c>
      <c r="AH1" s="781">
        <v>2028</v>
      </c>
      <c r="AI1" s="781">
        <v>2029</v>
      </c>
      <c r="AJ1" s="781">
        <v>2030</v>
      </c>
      <c r="AK1" s="781">
        <v>2031</v>
      </c>
      <c r="AL1" s="781">
        <v>2032</v>
      </c>
      <c r="AM1" s="781">
        <v>2033</v>
      </c>
      <c r="AN1" s="781">
        <v>2024</v>
      </c>
      <c r="AO1" s="781">
        <v>2025</v>
      </c>
      <c r="AP1" s="781">
        <v>2026</v>
      </c>
      <c r="AQ1" s="781">
        <v>2027</v>
      </c>
      <c r="AR1" s="781">
        <v>2028</v>
      </c>
      <c r="AS1" s="781">
        <v>2029</v>
      </c>
      <c r="AT1" s="781">
        <v>2030</v>
      </c>
      <c r="AU1" s="781">
        <v>2031</v>
      </c>
      <c r="AV1" s="781">
        <v>2032</v>
      </c>
      <c r="AW1" s="781">
        <v>2033</v>
      </c>
      <c r="AX1" s="927"/>
      <c r="AY1" s="927"/>
      <c r="AZ1" s="927"/>
      <c r="BA1" s="927"/>
    </row>
    <row r="2" spans="1:53" ht="11.4" hidden="1">
      <c r="A2" s="927"/>
      <c r="B2" s="927"/>
      <c r="C2" s="927"/>
      <c r="D2" s="927"/>
      <c r="E2" s="927"/>
      <c r="F2" s="927"/>
      <c r="G2" s="927"/>
      <c r="H2" s="927"/>
      <c r="I2" s="927"/>
      <c r="J2" s="927"/>
      <c r="K2" s="927"/>
      <c r="L2" s="936"/>
      <c r="M2" s="937"/>
      <c r="N2" s="936"/>
      <c r="O2" s="781" t="s">
        <v>268</v>
      </c>
      <c r="P2" s="781" t="s">
        <v>306</v>
      </c>
      <c r="Q2" s="781" t="s">
        <v>286</v>
      </c>
      <c r="R2" s="781" t="s">
        <v>1167</v>
      </c>
      <c r="S2" s="781" t="s">
        <v>268</v>
      </c>
      <c r="T2" s="781" t="s">
        <v>269</v>
      </c>
      <c r="U2" s="781" t="s">
        <v>269</v>
      </c>
      <c r="V2" s="781" t="s">
        <v>269</v>
      </c>
      <c r="W2" s="781" t="s">
        <v>269</v>
      </c>
      <c r="X2" s="781" t="s">
        <v>269</v>
      </c>
      <c r="Y2" s="781" t="s">
        <v>269</v>
      </c>
      <c r="Z2" s="781" t="s">
        <v>269</v>
      </c>
      <c r="AA2" s="781" t="s">
        <v>269</v>
      </c>
      <c r="AB2" s="781" t="s">
        <v>269</v>
      </c>
      <c r="AC2" s="781" t="s">
        <v>269</v>
      </c>
      <c r="AD2" s="781" t="s">
        <v>268</v>
      </c>
      <c r="AE2" s="781" t="s">
        <v>268</v>
      </c>
      <c r="AF2" s="781" t="s">
        <v>268</v>
      </c>
      <c r="AG2" s="781" t="s">
        <v>268</v>
      </c>
      <c r="AH2" s="781" t="s">
        <v>268</v>
      </c>
      <c r="AI2" s="781" t="s">
        <v>268</v>
      </c>
      <c r="AJ2" s="781" t="s">
        <v>268</v>
      </c>
      <c r="AK2" s="781" t="s">
        <v>268</v>
      </c>
      <c r="AL2" s="781" t="s">
        <v>268</v>
      </c>
      <c r="AM2" s="781" t="s">
        <v>268</v>
      </c>
      <c r="AN2" s="781"/>
      <c r="AO2" s="781"/>
      <c r="AP2" s="781"/>
      <c r="AQ2" s="781"/>
      <c r="AR2" s="781"/>
      <c r="AS2" s="781"/>
      <c r="AT2" s="781"/>
      <c r="AU2" s="781"/>
      <c r="AV2" s="781"/>
      <c r="AW2" s="781"/>
      <c r="AX2" s="927"/>
      <c r="AY2" s="927"/>
      <c r="AZ2" s="927"/>
      <c r="BA2" s="927"/>
    </row>
    <row r="3" spans="1:53" ht="11.4" hidden="1">
      <c r="A3" s="927"/>
      <c r="B3" s="927"/>
      <c r="C3" s="927"/>
      <c r="D3" s="927"/>
      <c r="E3" s="927"/>
      <c r="F3" s="927"/>
      <c r="G3" s="927"/>
      <c r="H3" s="927"/>
      <c r="I3" s="927"/>
      <c r="J3" s="927"/>
      <c r="K3" s="927"/>
      <c r="L3" s="936"/>
      <c r="M3" s="937"/>
      <c r="N3" s="936"/>
      <c r="O3" s="781" t="s">
        <v>3018</v>
      </c>
      <c r="P3" s="781" t="s">
        <v>3019</v>
      </c>
      <c r="Q3" s="781" t="s">
        <v>3020</v>
      </c>
      <c r="R3" s="781" t="s">
        <v>3072</v>
      </c>
      <c r="S3" s="781" t="s">
        <v>3022</v>
      </c>
      <c r="T3" s="781" t="s">
        <v>3023</v>
      </c>
      <c r="U3" s="781" t="s">
        <v>3028</v>
      </c>
      <c r="V3" s="781" t="s">
        <v>3030</v>
      </c>
      <c r="W3" s="781" t="s">
        <v>3032</v>
      </c>
      <c r="X3" s="781" t="s">
        <v>3034</v>
      </c>
      <c r="Y3" s="781" t="s">
        <v>3036</v>
      </c>
      <c r="Z3" s="781" t="s">
        <v>3038</v>
      </c>
      <c r="AA3" s="781" t="s">
        <v>3040</v>
      </c>
      <c r="AB3" s="781" t="s">
        <v>3042</v>
      </c>
      <c r="AC3" s="781" t="s">
        <v>3044</v>
      </c>
      <c r="AD3" s="781" t="s">
        <v>3024</v>
      </c>
      <c r="AE3" s="781" t="s">
        <v>3029</v>
      </c>
      <c r="AF3" s="781" t="s">
        <v>3031</v>
      </c>
      <c r="AG3" s="781" t="s">
        <v>3033</v>
      </c>
      <c r="AH3" s="781" t="s">
        <v>3035</v>
      </c>
      <c r="AI3" s="781" t="s">
        <v>3037</v>
      </c>
      <c r="AJ3" s="781" t="s">
        <v>3039</v>
      </c>
      <c r="AK3" s="781" t="s">
        <v>3041</v>
      </c>
      <c r="AL3" s="781" t="s">
        <v>3043</v>
      </c>
      <c r="AM3" s="781" t="s">
        <v>3045</v>
      </c>
      <c r="AN3" s="781"/>
      <c r="AO3" s="781"/>
      <c r="AP3" s="781"/>
      <c r="AQ3" s="781"/>
      <c r="AR3" s="781"/>
      <c r="AS3" s="781"/>
      <c r="AT3" s="781"/>
      <c r="AU3" s="781"/>
      <c r="AV3" s="781"/>
      <c r="AW3" s="781"/>
      <c r="AX3" s="927"/>
      <c r="AY3" s="927"/>
      <c r="AZ3" s="927"/>
      <c r="BA3" s="927"/>
    </row>
    <row r="4" spans="1:53" ht="11.4" hidden="1">
      <c r="A4" s="927"/>
      <c r="B4" s="927"/>
      <c r="C4" s="927"/>
      <c r="D4" s="927"/>
      <c r="E4" s="927"/>
      <c r="F4" s="927"/>
      <c r="G4" s="927"/>
      <c r="H4" s="927"/>
      <c r="I4" s="927"/>
      <c r="J4" s="927"/>
      <c r="K4" s="927"/>
      <c r="L4" s="936"/>
      <c r="M4" s="937"/>
      <c r="N4" s="936"/>
      <c r="O4" s="927"/>
      <c r="P4" s="927"/>
      <c r="Q4" s="927"/>
      <c r="R4" s="927"/>
      <c r="S4" s="927"/>
      <c r="T4" s="781"/>
      <c r="U4" s="781"/>
      <c r="V4" s="781"/>
      <c r="W4" s="781"/>
      <c r="X4" s="781"/>
      <c r="Y4" s="781"/>
      <c r="Z4" s="781"/>
      <c r="AA4" s="781"/>
      <c r="AB4" s="781"/>
      <c r="AC4" s="781"/>
      <c r="AD4" s="781"/>
      <c r="AE4" s="781"/>
      <c r="AF4" s="781"/>
      <c r="AG4" s="781"/>
      <c r="AH4" s="781"/>
      <c r="AI4" s="781"/>
      <c r="AJ4" s="781"/>
      <c r="AK4" s="781"/>
      <c r="AL4" s="781"/>
      <c r="AM4" s="781"/>
      <c r="AN4" s="781"/>
      <c r="AO4" s="781"/>
      <c r="AP4" s="781"/>
      <c r="AQ4" s="781"/>
      <c r="AR4" s="781"/>
      <c r="AS4" s="781"/>
      <c r="AT4" s="781"/>
      <c r="AU4" s="781"/>
      <c r="AV4" s="781"/>
      <c r="AW4" s="781"/>
      <c r="AX4" s="927"/>
      <c r="AY4" s="927"/>
      <c r="AZ4" s="927"/>
      <c r="BA4" s="927"/>
    </row>
    <row r="5" spans="1:53" ht="11.4" hidden="1">
      <c r="A5" s="927"/>
      <c r="B5" s="927"/>
      <c r="C5" s="927"/>
      <c r="D5" s="927"/>
      <c r="E5" s="927"/>
      <c r="F5" s="927"/>
      <c r="G5" s="927"/>
      <c r="H5" s="927"/>
      <c r="I5" s="927"/>
      <c r="J5" s="927"/>
      <c r="K5" s="927"/>
      <c r="L5" s="936"/>
      <c r="M5" s="937"/>
      <c r="N5" s="936"/>
      <c r="O5" s="927"/>
      <c r="P5" s="927"/>
      <c r="Q5" s="927"/>
      <c r="R5" s="927"/>
      <c r="S5" s="927"/>
      <c r="T5" s="781"/>
      <c r="U5" s="781"/>
      <c r="V5" s="781"/>
      <c r="W5" s="781"/>
      <c r="X5" s="781"/>
      <c r="Y5" s="781"/>
      <c r="Z5" s="781"/>
      <c r="AA5" s="781"/>
      <c r="AB5" s="781"/>
      <c r="AC5" s="781"/>
      <c r="AD5" s="781"/>
      <c r="AE5" s="781"/>
      <c r="AF5" s="781"/>
      <c r="AG5" s="781"/>
      <c r="AH5" s="781"/>
      <c r="AI5" s="781"/>
      <c r="AJ5" s="781"/>
      <c r="AK5" s="781"/>
      <c r="AL5" s="781"/>
      <c r="AM5" s="781"/>
      <c r="AN5" s="781"/>
      <c r="AO5" s="781"/>
      <c r="AP5" s="781"/>
      <c r="AQ5" s="781"/>
      <c r="AR5" s="781"/>
      <c r="AS5" s="781"/>
      <c r="AT5" s="781"/>
      <c r="AU5" s="781"/>
      <c r="AV5" s="781"/>
      <c r="AW5" s="781"/>
      <c r="AX5" s="927"/>
      <c r="AY5" s="927"/>
      <c r="AZ5" s="927"/>
      <c r="BA5" s="927"/>
    </row>
    <row r="6" spans="1:53" ht="11.4" hidden="1">
      <c r="A6" s="927"/>
      <c r="B6" s="927"/>
      <c r="C6" s="927"/>
      <c r="D6" s="927"/>
      <c r="E6" s="927"/>
      <c r="F6" s="927"/>
      <c r="G6" s="927"/>
      <c r="H6" s="927"/>
      <c r="I6" s="927"/>
      <c r="J6" s="927"/>
      <c r="K6" s="927"/>
      <c r="L6" s="936"/>
      <c r="M6" s="937"/>
      <c r="N6" s="936"/>
      <c r="O6" s="927"/>
      <c r="P6" s="927"/>
      <c r="Q6" s="927"/>
      <c r="R6" s="927"/>
      <c r="S6" s="927"/>
      <c r="T6" s="781"/>
      <c r="U6" s="781"/>
      <c r="V6" s="781"/>
      <c r="W6" s="781"/>
      <c r="X6" s="781"/>
      <c r="Y6" s="781"/>
      <c r="Z6" s="781"/>
      <c r="AA6" s="781"/>
      <c r="AB6" s="781"/>
      <c r="AC6" s="781"/>
      <c r="AD6" s="781"/>
      <c r="AE6" s="781"/>
      <c r="AF6" s="781"/>
      <c r="AG6" s="781"/>
      <c r="AH6" s="781"/>
      <c r="AI6" s="781"/>
      <c r="AJ6" s="781"/>
      <c r="AK6" s="781"/>
      <c r="AL6" s="781"/>
      <c r="AM6" s="781"/>
      <c r="AN6" s="781"/>
      <c r="AO6" s="781"/>
      <c r="AP6" s="781"/>
      <c r="AQ6" s="781"/>
      <c r="AR6" s="781"/>
      <c r="AS6" s="781"/>
      <c r="AT6" s="781"/>
      <c r="AU6" s="781"/>
      <c r="AV6" s="781"/>
      <c r="AW6" s="781"/>
      <c r="AX6" s="927"/>
      <c r="AY6" s="927"/>
      <c r="AZ6" s="927"/>
      <c r="BA6" s="927"/>
    </row>
    <row r="7" spans="1:53" ht="11.4" hidden="1">
      <c r="A7" s="927"/>
      <c r="B7" s="927"/>
      <c r="C7" s="927"/>
      <c r="D7" s="927"/>
      <c r="E7" s="927"/>
      <c r="F7" s="927"/>
      <c r="G7" s="927"/>
      <c r="H7" s="927"/>
      <c r="I7" s="927"/>
      <c r="J7" s="927"/>
      <c r="K7" s="927"/>
      <c r="L7" s="936"/>
      <c r="M7" s="937"/>
      <c r="N7" s="936"/>
      <c r="O7" s="927"/>
      <c r="P7" s="927"/>
      <c r="Q7" s="927"/>
      <c r="R7" s="927"/>
      <c r="S7" s="927"/>
      <c r="T7" s="731" t="b">
        <v>1</v>
      </c>
      <c r="U7" s="731" t="b">
        <v>0</v>
      </c>
      <c r="V7" s="731" t="b">
        <v>0</v>
      </c>
      <c r="W7" s="731" t="b">
        <v>0</v>
      </c>
      <c r="X7" s="731" t="b">
        <v>0</v>
      </c>
      <c r="Y7" s="731" t="b">
        <v>0</v>
      </c>
      <c r="Z7" s="731" t="b">
        <v>0</v>
      </c>
      <c r="AA7" s="731" t="b">
        <v>0</v>
      </c>
      <c r="AB7" s="731" t="b">
        <v>0</v>
      </c>
      <c r="AC7" s="731" t="b">
        <v>0</v>
      </c>
      <c r="AD7" s="731" t="b">
        <v>1</v>
      </c>
      <c r="AE7" s="731" t="b">
        <v>0</v>
      </c>
      <c r="AF7" s="731" t="b">
        <v>0</v>
      </c>
      <c r="AG7" s="731" t="b">
        <v>0</v>
      </c>
      <c r="AH7" s="731" t="b">
        <v>0</v>
      </c>
      <c r="AI7" s="731" t="b">
        <v>0</v>
      </c>
      <c r="AJ7" s="731" t="b">
        <v>0</v>
      </c>
      <c r="AK7" s="731" t="b">
        <v>0</v>
      </c>
      <c r="AL7" s="731" t="b">
        <v>0</v>
      </c>
      <c r="AM7" s="731" t="b">
        <v>0</v>
      </c>
      <c r="AN7" s="731" t="b">
        <v>1</v>
      </c>
      <c r="AO7" s="731" t="b">
        <v>0</v>
      </c>
      <c r="AP7" s="731" t="b">
        <v>0</v>
      </c>
      <c r="AQ7" s="731" t="b">
        <v>0</v>
      </c>
      <c r="AR7" s="731" t="b">
        <v>0</v>
      </c>
      <c r="AS7" s="731" t="b">
        <v>0</v>
      </c>
      <c r="AT7" s="731" t="b">
        <v>0</v>
      </c>
      <c r="AU7" s="731" t="b">
        <v>0</v>
      </c>
      <c r="AV7" s="731" t="b">
        <v>0</v>
      </c>
      <c r="AW7" s="731" t="b">
        <v>0</v>
      </c>
      <c r="AX7" s="927"/>
      <c r="AY7" s="927"/>
      <c r="AZ7" s="927"/>
      <c r="BA7" s="927"/>
    </row>
    <row r="8" spans="1:53" hidden="1">
      <c r="A8" s="927"/>
      <c r="B8" s="927"/>
      <c r="C8" s="927"/>
      <c r="D8" s="927"/>
      <c r="E8" s="927"/>
      <c r="F8" s="927"/>
      <c r="G8" s="927"/>
      <c r="H8" s="927"/>
      <c r="I8" s="927"/>
      <c r="J8" s="927"/>
      <c r="K8" s="927"/>
      <c r="L8" s="936"/>
      <c r="M8" s="937"/>
      <c r="N8" s="936"/>
      <c r="O8" s="927"/>
      <c r="P8" s="927"/>
      <c r="Q8" s="927"/>
      <c r="R8" s="927"/>
      <c r="S8" s="927"/>
      <c r="T8" s="927"/>
      <c r="U8" s="927"/>
      <c r="V8" s="927"/>
      <c r="W8" s="927"/>
      <c r="X8" s="927"/>
      <c r="Y8" s="927"/>
      <c r="Z8" s="927"/>
      <c r="AA8" s="927"/>
      <c r="AB8" s="927"/>
      <c r="AC8" s="927"/>
      <c r="AD8" s="927"/>
      <c r="AE8" s="927"/>
      <c r="AF8" s="927"/>
      <c r="AG8" s="927"/>
      <c r="AH8" s="927"/>
      <c r="AI8" s="927"/>
      <c r="AJ8" s="927"/>
      <c r="AK8" s="927"/>
      <c r="AL8" s="927"/>
      <c r="AM8" s="927"/>
      <c r="AN8" s="927"/>
      <c r="AO8" s="927"/>
      <c r="AP8" s="927"/>
      <c r="AQ8" s="927"/>
      <c r="AR8" s="927"/>
      <c r="AS8" s="927"/>
      <c r="AT8" s="927"/>
      <c r="AU8" s="927"/>
      <c r="AV8" s="927"/>
      <c r="AW8" s="927"/>
      <c r="AX8" s="927"/>
      <c r="AY8" s="927"/>
      <c r="AZ8" s="927"/>
      <c r="BA8" s="927"/>
    </row>
    <row r="9" spans="1:53" hidden="1">
      <c r="A9" s="927"/>
      <c r="B9" s="927"/>
      <c r="C9" s="927"/>
      <c r="D9" s="927"/>
      <c r="E9" s="927"/>
      <c r="F9" s="927"/>
      <c r="G9" s="927"/>
      <c r="H9" s="927"/>
      <c r="I9" s="927"/>
      <c r="J9" s="927"/>
      <c r="K9" s="927"/>
      <c r="L9" s="936"/>
      <c r="M9" s="937"/>
      <c r="N9" s="936"/>
      <c r="O9" s="927"/>
      <c r="P9" s="927"/>
      <c r="Q9" s="927"/>
      <c r="R9" s="927"/>
      <c r="S9" s="927"/>
      <c r="T9" s="927"/>
      <c r="U9" s="927"/>
      <c r="V9" s="927"/>
      <c r="W9" s="927"/>
      <c r="X9" s="927"/>
      <c r="Y9" s="927"/>
      <c r="Z9" s="927"/>
      <c r="AA9" s="927"/>
      <c r="AB9" s="927"/>
      <c r="AC9" s="927"/>
      <c r="AD9" s="927"/>
      <c r="AE9" s="927"/>
      <c r="AF9" s="927"/>
      <c r="AG9" s="927"/>
      <c r="AH9" s="927"/>
      <c r="AI9" s="927"/>
      <c r="AJ9" s="927"/>
      <c r="AK9" s="927"/>
      <c r="AL9" s="927"/>
      <c r="AM9" s="927"/>
      <c r="AN9" s="927"/>
      <c r="AO9" s="927"/>
      <c r="AP9" s="927"/>
      <c r="AQ9" s="927"/>
      <c r="AR9" s="927"/>
      <c r="AS9" s="927"/>
      <c r="AT9" s="927"/>
      <c r="AU9" s="927"/>
      <c r="AV9" s="927"/>
      <c r="AW9" s="927"/>
      <c r="AX9" s="927"/>
      <c r="AY9" s="927"/>
      <c r="AZ9" s="927"/>
      <c r="BA9" s="927"/>
    </row>
    <row r="10" spans="1:53" hidden="1">
      <c r="A10" s="927"/>
      <c r="B10" s="927"/>
      <c r="C10" s="927"/>
      <c r="D10" s="927"/>
      <c r="E10" s="927"/>
      <c r="F10" s="927"/>
      <c r="G10" s="927"/>
      <c r="H10" s="927"/>
      <c r="I10" s="927"/>
      <c r="J10" s="927"/>
      <c r="K10" s="927"/>
      <c r="L10" s="936"/>
      <c r="M10" s="937"/>
      <c r="N10" s="936"/>
      <c r="O10" s="927"/>
      <c r="P10" s="927"/>
      <c r="Q10" s="927"/>
      <c r="R10" s="927"/>
      <c r="S10" s="927"/>
      <c r="T10" s="927"/>
      <c r="U10" s="927"/>
      <c r="V10" s="927"/>
      <c r="W10" s="927"/>
      <c r="X10" s="927"/>
      <c r="Y10" s="927"/>
      <c r="Z10" s="927"/>
      <c r="AA10" s="927"/>
      <c r="AB10" s="927"/>
      <c r="AC10" s="927"/>
      <c r="AD10" s="927"/>
      <c r="AE10" s="927"/>
      <c r="AF10" s="927"/>
      <c r="AG10" s="927"/>
      <c r="AH10" s="927"/>
      <c r="AI10" s="927"/>
      <c r="AJ10" s="927"/>
      <c r="AK10" s="927"/>
      <c r="AL10" s="927"/>
      <c r="AM10" s="927"/>
      <c r="AN10" s="927"/>
      <c r="AO10" s="927"/>
      <c r="AP10" s="927"/>
      <c r="AQ10" s="927"/>
      <c r="AR10" s="927"/>
      <c r="AS10" s="927"/>
      <c r="AT10" s="927"/>
      <c r="AU10" s="927"/>
      <c r="AV10" s="927"/>
      <c r="AW10" s="927"/>
      <c r="AX10" s="927"/>
      <c r="AY10" s="927"/>
      <c r="AZ10" s="927"/>
      <c r="BA10" s="927"/>
    </row>
    <row r="11" spans="1:53" ht="15" hidden="1" customHeight="1">
      <c r="A11" s="927"/>
      <c r="B11" s="927"/>
      <c r="C11" s="927"/>
      <c r="D11" s="927"/>
      <c r="E11" s="927"/>
      <c r="F11" s="927"/>
      <c r="G11" s="927"/>
      <c r="H11" s="927"/>
      <c r="I11" s="927"/>
      <c r="J11" s="927"/>
      <c r="K11" s="927"/>
      <c r="L11" s="927"/>
      <c r="M11" s="876"/>
      <c r="N11" s="927"/>
      <c r="O11" s="927"/>
      <c r="P11" s="927"/>
      <c r="Q11" s="927"/>
      <c r="R11" s="927"/>
      <c r="S11" s="927"/>
      <c r="T11" s="927"/>
      <c r="U11" s="927"/>
      <c r="V11" s="927"/>
      <c r="W11" s="927"/>
      <c r="X11" s="927"/>
      <c r="Y11" s="927"/>
      <c r="Z11" s="927"/>
      <c r="AA11" s="927"/>
      <c r="AB11" s="927"/>
      <c r="AC11" s="927"/>
      <c r="AD11" s="927"/>
      <c r="AE11" s="927"/>
      <c r="AF11" s="927"/>
      <c r="AG11" s="927"/>
      <c r="AH11" s="927"/>
      <c r="AI11" s="927"/>
      <c r="AJ11" s="927"/>
      <c r="AK11" s="927"/>
      <c r="AL11" s="927"/>
      <c r="AM11" s="927"/>
      <c r="AN11" s="927"/>
      <c r="AO11" s="927"/>
      <c r="AP11" s="927"/>
      <c r="AQ11" s="927"/>
      <c r="AR11" s="927"/>
      <c r="AS11" s="927"/>
      <c r="AT11" s="927"/>
      <c r="AU11" s="927"/>
      <c r="AV11" s="927"/>
      <c r="AW11" s="927"/>
      <c r="AX11" s="927"/>
      <c r="AY11" s="927"/>
      <c r="AZ11" s="927"/>
      <c r="BA11" s="927"/>
    </row>
    <row r="12" spans="1:53" s="105" customFormat="1" ht="20.100000000000001" customHeight="1">
      <c r="A12" s="938"/>
      <c r="B12" s="938"/>
      <c r="C12" s="938"/>
      <c r="D12" s="938"/>
      <c r="E12" s="938"/>
      <c r="F12" s="938"/>
      <c r="G12" s="938"/>
      <c r="H12" s="938"/>
      <c r="I12" s="938"/>
      <c r="J12" s="938"/>
      <c r="K12" s="938"/>
      <c r="L12" s="419" t="s">
        <v>1254</v>
      </c>
      <c r="M12" s="286"/>
      <c r="N12" s="286"/>
      <c r="O12" s="286"/>
      <c r="P12" s="286"/>
      <c r="Q12" s="286"/>
      <c r="R12" s="286"/>
      <c r="S12" s="286"/>
      <c r="T12" s="286"/>
      <c r="U12" s="286"/>
      <c r="V12" s="286"/>
      <c r="W12" s="286"/>
      <c r="X12" s="286"/>
      <c r="Y12" s="286"/>
      <c r="Z12" s="286"/>
      <c r="AA12" s="286"/>
      <c r="AB12" s="286"/>
      <c r="AC12" s="286"/>
      <c r="AD12" s="286"/>
      <c r="AE12" s="286"/>
      <c r="AF12" s="286"/>
      <c r="AG12" s="286"/>
      <c r="AH12" s="286"/>
      <c r="AI12" s="286"/>
      <c r="AJ12" s="286"/>
      <c r="AK12" s="286"/>
      <c r="AL12" s="286"/>
      <c r="AM12" s="286"/>
      <c r="AN12" s="286"/>
      <c r="AO12" s="286"/>
      <c r="AP12" s="286"/>
      <c r="AQ12" s="286"/>
      <c r="AR12" s="286"/>
      <c r="AS12" s="286"/>
      <c r="AT12" s="286"/>
      <c r="AU12" s="286"/>
      <c r="AV12" s="286"/>
      <c r="AW12" s="286"/>
      <c r="AX12" s="286"/>
      <c r="AY12" s="286"/>
      <c r="AZ12" s="286"/>
      <c r="BA12" s="938"/>
    </row>
    <row r="13" spans="1:53" s="105" customFormat="1">
      <c r="A13" s="938"/>
      <c r="B13" s="938"/>
      <c r="C13" s="938"/>
      <c r="D13" s="938"/>
      <c r="E13" s="938"/>
      <c r="F13" s="938"/>
      <c r="G13" s="938"/>
      <c r="H13" s="938"/>
      <c r="I13" s="938"/>
      <c r="J13" s="938"/>
      <c r="K13" s="938"/>
      <c r="L13" s="939"/>
      <c r="M13" s="939"/>
      <c r="N13" s="939"/>
      <c r="O13" s="939"/>
      <c r="P13" s="939"/>
      <c r="Q13" s="939"/>
      <c r="R13" s="939"/>
      <c r="S13" s="939"/>
      <c r="T13" s="939"/>
      <c r="U13" s="939"/>
      <c r="V13" s="939"/>
      <c r="W13" s="939"/>
      <c r="X13" s="939"/>
      <c r="Y13" s="939"/>
      <c r="Z13" s="939"/>
      <c r="AA13" s="939"/>
      <c r="AB13" s="939"/>
      <c r="AC13" s="939"/>
      <c r="AD13" s="939"/>
      <c r="AE13" s="939"/>
      <c r="AF13" s="939"/>
      <c r="AG13" s="939"/>
      <c r="AH13" s="939"/>
      <c r="AI13" s="939"/>
      <c r="AJ13" s="939"/>
      <c r="AK13" s="939"/>
      <c r="AL13" s="939"/>
      <c r="AM13" s="939"/>
      <c r="AN13" s="939"/>
      <c r="AO13" s="939"/>
      <c r="AP13" s="939"/>
      <c r="AQ13" s="939"/>
      <c r="AR13" s="939"/>
      <c r="AS13" s="939"/>
      <c r="AT13" s="939"/>
      <c r="AU13" s="939"/>
      <c r="AV13" s="939"/>
      <c r="AW13" s="939"/>
      <c r="AX13" s="939"/>
      <c r="AY13" s="939"/>
      <c r="AZ13" s="939"/>
      <c r="BA13" s="938"/>
    </row>
    <row r="14" spans="1:53" s="103" customFormat="1" ht="24.75" customHeight="1">
      <c r="A14" s="937"/>
      <c r="B14" s="937"/>
      <c r="C14" s="937"/>
      <c r="D14" s="937"/>
      <c r="E14" s="937"/>
      <c r="F14" s="937"/>
      <c r="G14" s="937"/>
      <c r="H14" s="937"/>
      <c r="I14" s="937"/>
      <c r="J14" s="937"/>
      <c r="K14" s="937"/>
      <c r="L14" s="1149" t="s">
        <v>16</v>
      </c>
      <c r="M14" s="1149" t="s">
        <v>121</v>
      </c>
      <c r="N14" s="1149" t="s">
        <v>135</v>
      </c>
      <c r="O14" s="940" t="s">
        <v>3010</v>
      </c>
      <c r="P14" s="940" t="s">
        <v>3010</v>
      </c>
      <c r="Q14" s="940" t="s">
        <v>3010</v>
      </c>
      <c r="R14" s="940" t="s">
        <v>3010</v>
      </c>
      <c r="S14" s="748" t="s">
        <v>3011</v>
      </c>
      <c r="T14" s="747" t="s">
        <v>3012</v>
      </c>
      <c r="U14" s="747" t="s">
        <v>3046</v>
      </c>
      <c r="V14" s="747" t="s">
        <v>3047</v>
      </c>
      <c r="W14" s="747" t="s">
        <v>3048</v>
      </c>
      <c r="X14" s="747" t="s">
        <v>3049</v>
      </c>
      <c r="Y14" s="747" t="s">
        <v>3050</v>
      </c>
      <c r="Z14" s="747" t="s">
        <v>3051</v>
      </c>
      <c r="AA14" s="747" t="s">
        <v>3052</v>
      </c>
      <c r="AB14" s="747" t="s">
        <v>3053</v>
      </c>
      <c r="AC14" s="747" t="s">
        <v>3054</v>
      </c>
      <c r="AD14" s="747" t="s">
        <v>3012</v>
      </c>
      <c r="AE14" s="747" t="s">
        <v>3046</v>
      </c>
      <c r="AF14" s="747" t="s">
        <v>3047</v>
      </c>
      <c r="AG14" s="747" t="s">
        <v>3048</v>
      </c>
      <c r="AH14" s="747" t="s">
        <v>3049</v>
      </c>
      <c r="AI14" s="747" t="s">
        <v>3050</v>
      </c>
      <c r="AJ14" s="747" t="s">
        <v>3051</v>
      </c>
      <c r="AK14" s="747" t="s">
        <v>3052</v>
      </c>
      <c r="AL14" s="747" t="s">
        <v>3053</v>
      </c>
      <c r="AM14" s="747" t="s">
        <v>3054</v>
      </c>
      <c r="AN14" s="747" t="s">
        <v>3012</v>
      </c>
      <c r="AO14" s="747" t="s">
        <v>3046</v>
      </c>
      <c r="AP14" s="747" t="s">
        <v>3047</v>
      </c>
      <c r="AQ14" s="747" t="s">
        <v>3048</v>
      </c>
      <c r="AR14" s="747" t="s">
        <v>3049</v>
      </c>
      <c r="AS14" s="747" t="s">
        <v>3050</v>
      </c>
      <c r="AT14" s="747" t="s">
        <v>3051</v>
      </c>
      <c r="AU14" s="747" t="s">
        <v>3052</v>
      </c>
      <c r="AV14" s="747" t="s">
        <v>3053</v>
      </c>
      <c r="AW14" s="747" t="s">
        <v>3054</v>
      </c>
      <c r="AX14" s="1148" t="s">
        <v>1093</v>
      </c>
      <c r="AY14" s="1148" t="s">
        <v>305</v>
      </c>
      <c r="AZ14" s="1148" t="s">
        <v>1101</v>
      </c>
      <c r="BA14" s="941"/>
    </row>
    <row r="15" spans="1:53" s="103" customFormat="1" ht="45.75" customHeight="1">
      <c r="A15" s="937"/>
      <c r="B15" s="937"/>
      <c r="C15" s="937"/>
      <c r="D15" s="937"/>
      <c r="E15" s="937"/>
      <c r="F15" s="937"/>
      <c r="G15" s="937"/>
      <c r="H15" s="937"/>
      <c r="I15" s="937"/>
      <c r="J15" s="937"/>
      <c r="K15" s="937"/>
      <c r="L15" s="1149"/>
      <c r="M15" s="1149"/>
      <c r="N15" s="1149"/>
      <c r="O15" s="748" t="s">
        <v>268</v>
      </c>
      <c r="P15" s="748" t="s">
        <v>306</v>
      </c>
      <c r="Q15" s="748" t="s">
        <v>286</v>
      </c>
      <c r="R15" s="940" t="s">
        <v>1167</v>
      </c>
      <c r="S15" s="748" t="s">
        <v>268</v>
      </c>
      <c r="T15" s="784" t="s">
        <v>269</v>
      </c>
      <c r="U15" s="784" t="s">
        <v>269</v>
      </c>
      <c r="V15" s="784" t="s">
        <v>269</v>
      </c>
      <c r="W15" s="784" t="s">
        <v>269</v>
      </c>
      <c r="X15" s="784" t="s">
        <v>269</v>
      </c>
      <c r="Y15" s="784" t="s">
        <v>269</v>
      </c>
      <c r="Z15" s="784" t="s">
        <v>269</v>
      </c>
      <c r="AA15" s="784" t="s">
        <v>269</v>
      </c>
      <c r="AB15" s="784" t="s">
        <v>269</v>
      </c>
      <c r="AC15" s="784" t="s">
        <v>269</v>
      </c>
      <c r="AD15" s="784" t="s">
        <v>268</v>
      </c>
      <c r="AE15" s="784" t="s">
        <v>268</v>
      </c>
      <c r="AF15" s="784" t="s">
        <v>268</v>
      </c>
      <c r="AG15" s="784" t="s">
        <v>268</v>
      </c>
      <c r="AH15" s="784" t="s">
        <v>268</v>
      </c>
      <c r="AI15" s="784" t="s">
        <v>268</v>
      </c>
      <c r="AJ15" s="784" t="s">
        <v>268</v>
      </c>
      <c r="AK15" s="784" t="s">
        <v>268</v>
      </c>
      <c r="AL15" s="784" t="s">
        <v>268</v>
      </c>
      <c r="AM15" s="784" t="s">
        <v>268</v>
      </c>
      <c r="AN15" s="1148" t="s">
        <v>1299</v>
      </c>
      <c r="AO15" s="1148"/>
      <c r="AP15" s="1148"/>
      <c r="AQ15" s="1148"/>
      <c r="AR15" s="1148"/>
      <c r="AS15" s="1148"/>
      <c r="AT15" s="1148"/>
      <c r="AU15" s="1148"/>
      <c r="AV15" s="1148"/>
      <c r="AW15" s="1148"/>
      <c r="AX15" s="1148"/>
      <c r="AY15" s="1148"/>
      <c r="AZ15" s="1148"/>
      <c r="BA15" s="941"/>
    </row>
    <row r="16" spans="1:53" s="80" customFormat="1" ht="11.4">
      <c r="A16" s="788" t="s">
        <v>18</v>
      </c>
      <c r="B16" s="911" t="s">
        <v>1000</v>
      </c>
      <c r="C16" s="774"/>
      <c r="D16" s="911" t="s">
        <v>998</v>
      </c>
      <c r="E16" s="774"/>
      <c r="F16" s="774"/>
      <c r="G16" s="774"/>
      <c r="H16" s="774"/>
      <c r="I16" s="774"/>
      <c r="J16" s="774"/>
      <c r="K16" s="774"/>
      <c r="L16" s="942" t="s">
        <v>3005</v>
      </c>
      <c r="M16" s="943"/>
      <c r="N16" s="943"/>
      <c r="O16" s="943"/>
      <c r="P16" s="943"/>
      <c r="Q16" s="943"/>
      <c r="R16" s="943"/>
      <c r="S16" s="943"/>
      <c r="T16" s="943"/>
      <c r="U16" s="943"/>
      <c r="V16" s="943"/>
      <c r="W16" s="943"/>
      <c r="X16" s="943"/>
      <c r="Y16" s="943"/>
      <c r="Z16" s="943"/>
      <c r="AA16" s="943"/>
      <c r="AB16" s="943"/>
      <c r="AC16" s="943"/>
      <c r="AD16" s="943"/>
      <c r="AE16" s="943"/>
      <c r="AF16" s="943"/>
      <c r="AG16" s="943"/>
      <c r="AH16" s="943"/>
      <c r="AI16" s="943"/>
      <c r="AJ16" s="943"/>
      <c r="AK16" s="943"/>
      <c r="AL16" s="943"/>
      <c r="AM16" s="943"/>
      <c r="AN16" s="943"/>
      <c r="AO16" s="943"/>
      <c r="AP16" s="943"/>
      <c r="AQ16" s="943"/>
      <c r="AR16" s="943"/>
      <c r="AS16" s="943"/>
      <c r="AT16" s="943"/>
      <c r="AU16" s="943"/>
      <c r="AV16" s="943"/>
      <c r="AW16" s="943"/>
      <c r="AX16" s="943"/>
      <c r="AY16" s="943"/>
      <c r="AZ16" s="943"/>
      <c r="BA16" s="774"/>
    </row>
    <row r="17" spans="1:53" s="107" customFormat="1" ht="11.4">
      <c r="A17" s="809">
        <v>1</v>
      </c>
      <c r="B17" s="944"/>
      <c r="C17" s="945"/>
      <c r="D17" s="945" t="s">
        <v>1406</v>
      </c>
      <c r="E17" s="944"/>
      <c r="F17" s="944"/>
      <c r="G17" s="944"/>
      <c r="H17" s="944"/>
      <c r="I17" s="944"/>
      <c r="J17" s="944"/>
      <c r="K17" s="944"/>
      <c r="L17" s="946" t="s">
        <v>18</v>
      </c>
      <c r="M17" s="947" t="s">
        <v>512</v>
      </c>
      <c r="N17" s="948" t="s">
        <v>352</v>
      </c>
      <c r="O17" s="949">
        <v>1702.09</v>
      </c>
      <c r="P17" s="950">
        <v>3638.11</v>
      </c>
      <c r="Q17" s="950">
        <v>1800.14</v>
      </c>
      <c r="R17" s="950">
        <v>-1837.97</v>
      </c>
      <c r="S17" s="949">
        <v>1963.45</v>
      </c>
      <c r="T17" s="949">
        <v>5005.9799999999996</v>
      </c>
      <c r="U17" s="949">
        <v>5005.9799999999996</v>
      </c>
      <c r="V17" s="949">
        <v>5005.9799999999996</v>
      </c>
      <c r="W17" s="949">
        <v>5005.9799999999996</v>
      </c>
      <c r="X17" s="949">
        <v>5005.9799999999996</v>
      </c>
      <c r="Y17" s="949">
        <v>5005.9799999999996</v>
      </c>
      <c r="Z17" s="949">
        <v>5005.9799999999996</v>
      </c>
      <c r="AA17" s="949">
        <v>5005.9799999999996</v>
      </c>
      <c r="AB17" s="949">
        <v>5005.9799999999996</v>
      </c>
      <c r="AC17" s="949">
        <v>5005.9799999999996</v>
      </c>
      <c r="AD17" s="949">
        <v>2083.77</v>
      </c>
      <c r="AE17" s="949">
        <v>2083.77</v>
      </c>
      <c r="AF17" s="949">
        <v>2083.77</v>
      </c>
      <c r="AG17" s="949">
        <v>2083.77</v>
      </c>
      <c r="AH17" s="949">
        <v>2083.77</v>
      </c>
      <c r="AI17" s="949">
        <v>2083.77</v>
      </c>
      <c r="AJ17" s="949">
        <v>2083.77</v>
      </c>
      <c r="AK17" s="949">
        <v>2083.77</v>
      </c>
      <c r="AL17" s="949">
        <v>2083.77</v>
      </c>
      <c r="AM17" s="949">
        <v>2083.77</v>
      </c>
      <c r="AN17" s="950">
        <v>6.1279889989559164</v>
      </c>
      <c r="AO17" s="950">
        <v>0</v>
      </c>
      <c r="AP17" s="950">
        <v>0</v>
      </c>
      <c r="AQ17" s="950">
        <v>0</v>
      </c>
      <c r="AR17" s="950">
        <v>0</v>
      </c>
      <c r="AS17" s="950">
        <v>0</v>
      </c>
      <c r="AT17" s="950">
        <v>0</v>
      </c>
      <c r="AU17" s="950">
        <v>0</v>
      </c>
      <c r="AV17" s="950">
        <v>0</v>
      </c>
      <c r="AW17" s="950">
        <v>0</v>
      </c>
      <c r="AX17" s="796"/>
      <c r="AY17" s="796"/>
      <c r="AZ17" s="796"/>
      <c r="BA17" s="951"/>
    </row>
    <row r="18" spans="1:53" ht="11.4">
      <c r="A18" s="809">
        <v>1</v>
      </c>
      <c r="B18" s="927"/>
      <c r="C18" s="952"/>
      <c r="D18" s="952" t="s">
        <v>1407</v>
      </c>
      <c r="E18" s="927"/>
      <c r="F18" s="927"/>
      <c r="G18" s="927"/>
      <c r="H18" s="927"/>
      <c r="I18" s="927"/>
      <c r="J18" s="927"/>
      <c r="K18" s="927"/>
      <c r="L18" s="953" t="s">
        <v>149</v>
      </c>
      <c r="M18" s="954" t="s">
        <v>513</v>
      </c>
      <c r="N18" s="955"/>
      <c r="O18" s="956"/>
      <c r="P18" s="956"/>
      <c r="Q18" s="956"/>
      <c r="R18" s="957">
        <v>0</v>
      </c>
      <c r="S18" s="956"/>
      <c r="T18" s="956"/>
      <c r="U18" s="956">
        <v>1</v>
      </c>
      <c r="V18" s="956">
        <v>1</v>
      </c>
      <c r="W18" s="956">
        <v>1</v>
      </c>
      <c r="X18" s="956">
        <v>1</v>
      </c>
      <c r="Y18" s="956">
        <v>1</v>
      </c>
      <c r="Z18" s="956">
        <v>1</v>
      </c>
      <c r="AA18" s="956">
        <v>1</v>
      </c>
      <c r="AB18" s="956">
        <v>1</v>
      </c>
      <c r="AC18" s="956">
        <v>1</v>
      </c>
      <c r="AD18" s="956">
        <v>1.0612999999999999</v>
      </c>
      <c r="AE18" s="956">
        <v>1</v>
      </c>
      <c r="AF18" s="956">
        <v>1</v>
      </c>
      <c r="AG18" s="956">
        <v>1</v>
      </c>
      <c r="AH18" s="956">
        <v>1</v>
      </c>
      <c r="AI18" s="956">
        <v>1</v>
      </c>
      <c r="AJ18" s="956">
        <v>1</v>
      </c>
      <c r="AK18" s="956">
        <v>1</v>
      </c>
      <c r="AL18" s="956">
        <v>1</v>
      </c>
      <c r="AM18" s="956">
        <v>1</v>
      </c>
      <c r="AN18" s="388"/>
      <c r="AO18" s="388"/>
      <c r="AP18" s="388"/>
      <c r="AQ18" s="388"/>
      <c r="AR18" s="388"/>
      <c r="AS18" s="388"/>
      <c r="AT18" s="388"/>
      <c r="AU18" s="388"/>
      <c r="AV18" s="388"/>
      <c r="AW18" s="388"/>
      <c r="AX18" s="796"/>
      <c r="AY18" s="796"/>
      <c r="AZ18" s="796"/>
      <c r="BA18" s="927"/>
    </row>
    <row r="19" spans="1:53" s="106" customFormat="1" ht="20.399999999999999">
      <c r="A19" s="809">
        <v>1</v>
      </c>
      <c r="B19" s="951"/>
      <c r="C19" s="945"/>
      <c r="D19" s="945" t="s">
        <v>1408</v>
      </c>
      <c r="E19" s="951"/>
      <c r="F19" s="951"/>
      <c r="G19" s="951"/>
      <c r="H19" s="951"/>
      <c r="I19" s="951"/>
      <c r="J19" s="951"/>
      <c r="K19" s="951"/>
      <c r="L19" s="946" t="s">
        <v>150</v>
      </c>
      <c r="M19" s="958" t="s">
        <v>514</v>
      </c>
      <c r="N19" s="948" t="s">
        <v>352</v>
      </c>
      <c r="O19" s="466"/>
      <c r="P19" s="950">
        <v>3638.11</v>
      </c>
      <c r="Q19" s="950">
        <v>1800.14</v>
      </c>
      <c r="R19" s="950">
        <v>-1837.97</v>
      </c>
      <c r="S19" s="466"/>
      <c r="T19" s="466"/>
      <c r="U19" s="466"/>
      <c r="V19" s="466"/>
      <c r="W19" s="466"/>
      <c r="X19" s="466"/>
      <c r="Y19" s="466"/>
      <c r="Z19" s="466"/>
      <c r="AA19" s="466"/>
      <c r="AB19" s="466"/>
      <c r="AC19" s="466"/>
      <c r="AD19" s="466"/>
      <c r="AE19" s="466"/>
      <c r="AF19" s="466"/>
      <c r="AG19" s="466"/>
      <c r="AH19" s="466"/>
      <c r="AI19" s="466"/>
      <c r="AJ19" s="466"/>
      <c r="AK19" s="466"/>
      <c r="AL19" s="466"/>
      <c r="AM19" s="466"/>
      <c r="AN19" s="466"/>
      <c r="AO19" s="466"/>
      <c r="AP19" s="466"/>
      <c r="AQ19" s="466"/>
      <c r="AR19" s="466"/>
      <c r="AS19" s="466"/>
      <c r="AT19" s="466"/>
      <c r="AU19" s="466"/>
      <c r="AV19" s="466"/>
      <c r="AW19" s="466"/>
      <c r="AX19" s="959"/>
      <c r="AY19" s="959"/>
      <c r="AZ19" s="959"/>
      <c r="BA19" s="951"/>
    </row>
    <row r="20" spans="1:53" ht="22.8">
      <c r="A20" s="809">
        <v>1</v>
      </c>
      <c r="B20" s="927"/>
      <c r="C20" s="952"/>
      <c r="D20" s="952" t="s">
        <v>1409</v>
      </c>
      <c r="E20" s="927"/>
      <c r="F20" s="927"/>
      <c r="G20" s="927"/>
      <c r="H20" s="927"/>
      <c r="I20" s="927"/>
      <c r="J20" s="927"/>
      <c r="K20" s="927"/>
      <c r="L20" s="953" t="s">
        <v>515</v>
      </c>
      <c r="M20" s="960" t="s">
        <v>516</v>
      </c>
      <c r="N20" s="881" t="s">
        <v>352</v>
      </c>
      <c r="O20" s="388"/>
      <c r="P20" s="961">
        <v>0</v>
      </c>
      <c r="Q20" s="961">
        <v>0</v>
      </c>
      <c r="R20" s="961">
        <v>0</v>
      </c>
      <c r="S20" s="388"/>
      <c r="T20" s="388"/>
      <c r="U20" s="388"/>
      <c r="V20" s="388"/>
      <c r="W20" s="388"/>
      <c r="X20" s="388"/>
      <c r="Y20" s="388"/>
      <c r="Z20" s="388"/>
      <c r="AA20" s="388"/>
      <c r="AB20" s="388"/>
      <c r="AC20" s="388"/>
      <c r="AD20" s="388"/>
      <c r="AE20" s="388"/>
      <c r="AF20" s="388"/>
      <c r="AG20" s="388"/>
      <c r="AH20" s="388"/>
      <c r="AI20" s="388"/>
      <c r="AJ20" s="388"/>
      <c r="AK20" s="388"/>
      <c r="AL20" s="388"/>
      <c r="AM20" s="388"/>
      <c r="AN20" s="388"/>
      <c r="AO20" s="388"/>
      <c r="AP20" s="388"/>
      <c r="AQ20" s="388"/>
      <c r="AR20" s="388"/>
      <c r="AS20" s="388"/>
      <c r="AT20" s="388"/>
      <c r="AU20" s="388"/>
      <c r="AV20" s="388"/>
      <c r="AW20" s="388"/>
      <c r="AX20" s="796"/>
      <c r="AY20" s="796"/>
      <c r="AZ20" s="796"/>
      <c r="BA20" s="962"/>
    </row>
    <row r="21" spans="1:53" ht="11.4">
      <c r="A21" s="809">
        <v>1</v>
      </c>
      <c r="B21" s="927"/>
      <c r="C21" s="952"/>
      <c r="D21" s="952" t="s">
        <v>1508</v>
      </c>
      <c r="E21" s="927"/>
      <c r="F21" s="927"/>
      <c r="G21" s="927"/>
      <c r="H21" s="927"/>
      <c r="I21" s="927"/>
      <c r="J21" s="927"/>
      <c r="K21" s="927"/>
      <c r="L21" s="953" t="s">
        <v>517</v>
      </c>
      <c r="M21" s="963" t="s">
        <v>518</v>
      </c>
      <c r="N21" s="964" t="s">
        <v>352</v>
      </c>
      <c r="O21" s="388"/>
      <c r="P21" s="811"/>
      <c r="Q21" s="811"/>
      <c r="R21" s="961">
        <v>0</v>
      </c>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8"/>
      <c r="AU21" s="388"/>
      <c r="AV21" s="388"/>
      <c r="AW21" s="388"/>
      <c r="AX21" s="796"/>
      <c r="AY21" s="796"/>
      <c r="AZ21" s="796"/>
      <c r="BA21" s="927"/>
    </row>
    <row r="22" spans="1:53" ht="11.4">
      <c r="A22" s="809">
        <v>1</v>
      </c>
      <c r="B22" s="927"/>
      <c r="C22" s="952"/>
      <c r="D22" s="952" t="s">
        <v>1509</v>
      </c>
      <c r="E22" s="927"/>
      <c r="F22" s="927"/>
      <c r="G22" s="927"/>
      <c r="H22" s="927"/>
      <c r="I22" s="927"/>
      <c r="J22" s="927"/>
      <c r="K22" s="927"/>
      <c r="L22" s="953" t="s">
        <v>519</v>
      </c>
      <c r="M22" s="965" t="s">
        <v>520</v>
      </c>
      <c r="N22" s="964" t="s">
        <v>352</v>
      </c>
      <c r="O22" s="388"/>
      <c r="P22" s="811"/>
      <c r="Q22" s="811"/>
      <c r="R22" s="961">
        <v>0</v>
      </c>
      <c r="S22" s="388"/>
      <c r="T22" s="388"/>
      <c r="U22" s="388"/>
      <c r="V22" s="388"/>
      <c r="W22" s="388"/>
      <c r="X22" s="388"/>
      <c r="Y22" s="388"/>
      <c r="Z22" s="388"/>
      <c r="AA22" s="388"/>
      <c r="AB22" s="388"/>
      <c r="AC22" s="388"/>
      <c r="AD22" s="388"/>
      <c r="AE22" s="388"/>
      <c r="AF22" s="388"/>
      <c r="AG22" s="388"/>
      <c r="AH22" s="388"/>
      <c r="AI22" s="388"/>
      <c r="AJ22" s="388"/>
      <c r="AK22" s="388"/>
      <c r="AL22" s="388"/>
      <c r="AM22" s="388"/>
      <c r="AN22" s="388"/>
      <c r="AO22" s="388"/>
      <c r="AP22" s="388"/>
      <c r="AQ22" s="388"/>
      <c r="AR22" s="388"/>
      <c r="AS22" s="388"/>
      <c r="AT22" s="388"/>
      <c r="AU22" s="388"/>
      <c r="AV22" s="388"/>
      <c r="AW22" s="388"/>
      <c r="AX22" s="796"/>
      <c r="AY22" s="796"/>
      <c r="AZ22" s="796"/>
      <c r="BA22" s="927"/>
    </row>
    <row r="23" spans="1:53" ht="22.8">
      <c r="A23" s="809">
        <v>1</v>
      </c>
      <c r="B23" s="927"/>
      <c r="C23" s="952"/>
      <c r="D23" s="952" t="s">
        <v>1410</v>
      </c>
      <c r="E23" s="927"/>
      <c r="F23" s="927"/>
      <c r="G23" s="927"/>
      <c r="H23" s="927"/>
      <c r="I23" s="927"/>
      <c r="J23" s="927"/>
      <c r="K23" s="927"/>
      <c r="L23" s="953" t="s">
        <v>521</v>
      </c>
      <c r="M23" s="960" t="s">
        <v>522</v>
      </c>
      <c r="N23" s="881" t="s">
        <v>352</v>
      </c>
      <c r="O23" s="388"/>
      <c r="P23" s="811"/>
      <c r="Q23" s="811"/>
      <c r="R23" s="961">
        <v>0</v>
      </c>
      <c r="S23" s="388"/>
      <c r="T23" s="388"/>
      <c r="U23" s="388"/>
      <c r="V23" s="388"/>
      <c r="W23" s="388"/>
      <c r="X23" s="388"/>
      <c r="Y23" s="388"/>
      <c r="Z23" s="388"/>
      <c r="AA23" s="388"/>
      <c r="AB23" s="388"/>
      <c r="AC23" s="388"/>
      <c r="AD23" s="388"/>
      <c r="AE23" s="388"/>
      <c r="AF23" s="388"/>
      <c r="AG23" s="388"/>
      <c r="AH23" s="388"/>
      <c r="AI23" s="388"/>
      <c r="AJ23" s="388"/>
      <c r="AK23" s="388"/>
      <c r="AL23" s="388"/>
      <c r="AM23" s="388"/>
      <c r="AN23" s="388"/>
      <c r="AO23" s="388"/>
      <c r="AP23" s="388"/>
      <c r="AQ23" s="388"/>
      <c r="AR23" s="388"/>
      <c r="AS23" s="388"/>
      <c r="AT23" s="388"/>
      <c r="AU23" s="388"/>
      <c r="AV23" s="388"/>
      <c r="AW23" s="388"/>
      <c r="AX23" s="796"/>
      <c r="AY23" s="796"/>
      <c r="AZ23" s="796"/>
      <c r="BA23" s="927"/>
    </row>
    <row r="24" spans="1:53" ht="34.200000000000003">
      <c r="A24" s="809">
        <v>1</v>
      </c>
      <c r="B24" s="927"/>
      <c r="C24" s="952"/>
      <c r="D24" s="952" t="s">
        <v>1422</v>
      </c>
      <c r="E24" s="927"/>
      <c r="F24" s="927"/>
      <c r="G24" s="927"/>
      <c r="H24" s="927"/>
      <c r="I24" s="927"/>
      <c r="J24" s="927"/>
      <c r="K24" s="927"/>
      <c r="L24" s="953" t="s">
        <v>523</v>
      </c>
      <c r="M24" s="960" t="s">
        <v>1612</v>
      </c>
      <c r="N24" s="964" t="s">
        <v>352</v>
      </c>
      <c r="O24" s="388"/>
      <c r="P24" s="388">
        <v>0</v>
      </c>
      <c r="Q24" s="388">
        <v>0</v>
      </c>
      <c r="R24" s="961">
        <v>0</v>
      </c>
      <c r="S24" s="388"/>
      <c r="T24" s="388"/>
      <c r="U24" s="388"/>
      <c r="V24" s="388"/>
      <c r="W24" s="388"/>
      <c r="X24" s="388"/>
      <c r="Y24" s="388"/>
      <c r="Z24" s="388"/>
      <c r="AA24" s="388"/>
      <c r="AB24" s="388"/>
      <c r="AC24" s="388"/>
      <c r="AD24" s="388"/>
      <c r="AE24" s="388"/>
      <c r="AF24" s="388"/>
      <c r="AG24" s="388"/>
      <c r="AH24" s="388"/>
      <c r="AI24" s="388"/>
      <c r="AJ24" s="388"/>
      <c r="AK24" s="388"/>
      <c r="AL24" s="388"/>
      <c r="AM24" s="388"/>
      <c r="AN24" s="388"/>
      <c r="AO24" s="388"/>
      <c r="AP24" s="388"/>
      <c r="AQ24" s="388"/>
      <c r="AR24" s="388"/>
      <c r="AS24" s="388"/>
      <c r="AT24" s="388"/>
      <c r="AU24" s="388"/>
      <c r="AV24" s="388"/>
      <c r="AW24" s="388"/>
      <c r="AX24" s="796"/>
      <c r="AY24" s="796"/>
      <c r="AZ24" s="796"/>
      <c r="BA24" s="927"/>
    </row>
    <row r="25" spans="1:53" ht="11.4">
      <c r="A25" s="809">
        <v>1</v>
      </c>
      <c r="B25" s="966" t="s">
        <v>1510</v>
      </c>
      <c r="C25" s="952"/>
      <c r="D25" s="952" t="s">
        <v>1423</v>
      </c>
      <c r="E25" s="927"/>
      <c r="F25" s="927"/>
      <c r="G25" s="927"/>
      <c r="H25" s="927"/>
      <c r="I25" s="927"/>
      <c r="J25" s="927"/>
      <c r="K25" s="927"/>
      <c r="L25" s="953" t="s">
        <v>524</v>
      </c>
      <c r="M25" s="963" t="s">
        <v>525</v>
      </c>
      <c r="N25" s="881" t="s">
        <v>352</v>
      </c>
      <c r="O25" s="388"/>
      <c r="P25" s="811"/>
      <c r="Q25" s="811"/>
      <c r="R25" s="961">
        <v>0</v>
      </c>
      <c r="S25" s="388"/>
      <c r="T25" s="388"/>
      <c r="U25" s="388"/>
      <c r="V25" s="388"/>
      <c r="W25" s="388"/>
      <c r="X25" s="388"/>
      <c r="Y25" s="388"/>
      <c r="Z25" s="388"/>
      <c r="AA25" s="388"/>
      <c r="AB25" s="388"/>
      <c r="AC25" s="388"/>
      <c r="AD25" s="388"/>
      <c r="AE25" s="388"/>
      <c r="AF25" s="388"/>
      <c r="AG25" s="388"/>
      <c r="AH25" s="388"/>
      <c r="AI25" s="388"/>
      <c r="AJ25" s="388"/>
      <c r="AK25" s="388"/>
      <c r="AL25" s="388"/>
      <c r="AM25" s="388"/>
      <c r="AN25" s="388"/>
      <c r="AO25" s="388"/>
      <c r="AP25" s="388"/>
      <c r="AQ25" s="388"/>
      <c r="AR25" s="388"/>
      <c r="AS25" s="388"/>
      <c r="AT25" s="388"/>
      <c r="AU25" s="388"/>
      <c r="AV25" s="388"/>
      <c r="AW25" s="388"/>
      <c r="AX25" s="796"/>
      <c r="AY25" s="796"/>
      <c r="AZ25" s="796"/>
      <c r="BA25" s="927"/>
    </row>
    <row r="26" spans="1:53" ht="22.8">
      <c r="A26" s="809">
        <v>1</v>
      </c>
      <c r="B26" s="966" t="s">
        <v>1511</v>
      </c>
      <c r="C26" s="952"/>
      <c r="D26" s="952" t="s">
        <v>1424</v>
      </c>
      <c r="E26" s="927"/>
      <c r="F26" s="927"/>
      <c r="G26" s="927"/>
      <c r="H26" s="927"/>
      <c r="I26" s="927"/>
      <c r="J26" s="927"/>
      <c r="K26" s="927"/>
      <c r="L26" s="953" t="s">
        <v>526</v>
      </c>
      <c r="M26" s="963" t="s">
        <v>1613</v>
      </c>
      <c r="N26" s="964" t="s">
        <v>352</v>
      </c>
      <c r="O26" s="388"/>
      <c r="P26" s="811">
        <v>0</v>
      </c>
      <c r="Q26" s="811">
        <v>0</v>
      </c>
      <c r="R26" s="961">
        <v>0</v>
      </c>
      <c r="S26" s="388"/>
      <c r="T26" s="388"/>
      <c r="U26" s="388"/>
      <c r="V26" s="388"/>
      <c r="W26" s="388"/>
      <c r="X26" s="388"/>
      <c r="Y26" s="388"/>
      <c r="Z26" s="388"/>
      <c r="AA26" s="388"/>
      <c r="AB26" s="388"/>
      <c r="AC26" s="388"/>
      <c r="AD26" s="388"/>
      <c r="AE26" s="388"/>
      <c r="AF26" s="388"/>
      <c r="AG26" s="388"/>
      <c r="AH26" s="388"/>
      <c r="AI26" s="388"/>
      <c r="AJ26" s="388"/>
      <c r="AK26" s="388"/>
      <c r="AL26" s="388"/>
      <c r="AM26" s="388"/>
      <c r="AN26" s="388"/>
      <c r="AO26" s="388"/>
      <c r="AP26" s="388"/>
      <c r="AQ26" s="388"/>
      <c r="AR26" s="388"/>
      <c r="AS26" s="388"/>
      <c r="AT26" s="388"/>
      <c r="AU26" s="388"/>
      <c r="AV26" s="388"/>
      <c r="AW26" s="388"/>
      <c r="AX26" s="796"/>
      <c r="AY26" s="796"/>
      <c r="AZ26" s="796"/>
      <c r="BA26" s="927"/>
    </row>
    <row r="27" spans="1:53" ht="11.4">
      <c r="A27" s="809">
        <v>1</v>
      </c>
      <c r="B27" s="927"/>
      <c r="C27" s="952"/>
      <c r="D27" s="952" t="s">
        <v>1426</v>
      </c>
      <c r="E27" s="927"/>
      <c r="F27" s="927"/>
      <c r="G27" s="927"/>
      <c r="H27" s="927"/>
      <c r="I27" s="927"/>
      <c r="J27" s="927"/>
      <c r="K27" s="927"/>
      <c r="L27" s="953" t="s">
        <v>527</v>
      </c>
      <c r="M27" s="960" t="s">
        <v>528</v>
      </c>
      <c r="N27" s="881" t="s">
        <v>352</v>
      </c>
      <c r="O27" s="388"/>
      <c r="P27" s="811"/>
      <c r="Q27" s="811"/>
      <c r="R27" s="961">
        <v>0</v>
      </c>
      <c r="S27" s="388"/>
      <c r="T27" s="388"/>
      <c r="U27" s="388"/>
      <c r="V27" s="388"/>
      <c r="W27" s="388"/>
      <c r="X27" s="388"/>
      <c r="Y27" s="388"/>
      <c r="Z27" s="388"/>
      <c r="AA27" s="388"/>
      <c r="AB27" s="388"/>
      <c r="AC27" s="388"/>
      <c r="AD27" s="388"/>
      <c r="AE27" s="388"/>
      <c r="AF27" s="388"/>
      <c r="AG27" s="388"/>
      <c r="AH27" s="388"/>
      <c r="AI27" s="388"/>
      <c r="AJ27" s="388"/>
      <c r="AK27" s="388"/>
      <c r="AL27" s="388"/>
      <c r="AM27" s="388"/>
      <c r="AN27" s="388"/>
      <c r="AO27" s="388"/>
      <c r="AP27" s="388"/>
      <c r="AQ27" s="388"/>
      <c r="AR27" s="388"/>
      <c r="AS27" s="388"/>
      <c r="AT27" s="388"/>
      <c r="AU27" s="388"/>
      <c r="AV27" s="388"/>
      <c r="AW27" s="388"/>
      <c r="AX27" s="796"/>
      <c r="AY27" s="796"/>
      <c r="AZ27" s="796"/>
      <c r="BA27" s="927"/>
    </row>
    <row r="28" spans="1:53" ht="11.4">
      <c r="A28" s="809">
        <v>1</v>
      </c>
      <c r="B28" s="927"/>
      <c r="C28" s="952"/>
      <c r="D28" s="952" t="s">
        <v>1427</v>
      </c>
      <c r="E28" s="927"/>
      <c r="F28" s="927"/>
      <c r="G28" s="927"/>
      <c r="H28" s="927"/>
      <c r="I28" s="927"/>
      <c r="J28" s="927"/>
      <c r="K28" s="927"/>
      <c r="L28" s="953" t="s">
        <v>529</v>
      </c>
      <c r="M28" s="967" t="s">
        <v>530</v>
      </c>
      <c r="N28" s="955" t="s">
        <v>352</v>
      </c>
      <c r="O28" s="388"/>
      <c r="P28" s="961">
        <v>3638.11</v>
      </c>
      <c r="Q28" s="961">
        <v>1800.14</v>
      </c>
      <c r="R28" s="961">
        <v>-1837.97</v>
      </c>
      <c r="S28" s="388"/>
      <c r="T28" s="388"/>
      <c r="U28" s="388"/>
      <c r="V28" s="388"/>
      <c r="W28" s="388"/>
      <c r="X28" s="388"/>
      <c r="Y28" s="388"/>
      <c r="Z28" s="388"/>
      <c r="AA28" s="388"/>
      <c r="AB28" s="388"/>
      <c r="AC28" s="388"/>
      <c r="AD28" s="388"/>
      <c r="AE28" s="388"/>
      <c r="AF28" s="388"/>
      <c r="AG28" s="388"/>
      <c r="AH28" s="388"/>
      <c r="AI28" s="388"/>
      <c r="AJ28" s="388"/>
      <c r="AK28" s="388"/>
      <c r="AL28" s="388"/>
      <c r="AM28" s="388"/>
      <c r="AN28" s="388"/>
      <c r="AO28" s="388"/>
      <c r="AP28" s="388"/>
      <c r="AQ28" s="388"/>
      <c r="AR28" s="388"/>
      <c r="AS28" s="388"/>
      <c r="AT28" s="388"/>
      <c r="AU28" s="388"/>
      <c r="AV28" s="388"/>
      <c r="AW28" s="388"/>
      <c r="AX28" s="796"/>
      <c r="AY28" s="796"/>
      <c r="AZ28" s="796"/>
      <c r="BA28" s="927"/>
    </row>
    <row r="29" spans="1:53" ht="11.4">
      <c r="A29" s="809">
        <v>1</v>
      </c>
      <c r="B29" s="927"/>
      <c r="C29" s="952"/>
      <c r="D29" s="952" t="s">
        <v>1512</v>
      </c>
      <c r="E29" s="927"/>
      <c r="F29" s="927"/>
      <c r="G29" s="927"/>
      <c r="H29" s="927"/>
      <c r="I29" s="927"/>
      <c r="J29" s="927"/>
      <c r="K29" s="927"/>
      <c r="L29" s="953" t="s">
        <v>531</v>
      </c>
      <c r="M29" s="965" t="s">
        <v>532</v>
      </c>
      <c r="N29" s="955" t="s">
        <v>352</v>
      </c>
      <c r="O29" s="388"/>
      <c r="P29" s="811"/>
      <c r="Q29" s="811"/>
      <c r="R29" s="961">
        <v>0</v>
      </c>
      <c r="S29" s="388"/>
      <c r="T29" s="388"/>
      <c r="U29" s="388"/>
      <c r="V29" s="388"/>
      <c r="W29" s="388"/>
      <c r="X29" s="388"/>
      <c r="Y29" s="388"/>
      <c r="Z29" s="388"/>
      <c r="AA29" s="388"/>
      <c r="AB29" s="388"/>
      <c r="AC29" s="388"/>
      <c r="AD29" s="388"/>
      <c r="AE29" s="388"/>
      <c r="AF29" s="388"/>
      <c r="AG29" s="388"/>
      <c r="AH29" s="388"/>
      <c r="AI29" s="388"/>
      <c r="AJ29" s="388"/>
      <c r="AK29" s="388"/>
      <c r="AL29" s="388"/>
      <c r="AM29" s="388"/>
      <c r="AN29" s="388"/>
      <c r="AO29" s="388"/>
      <c r="AP29" s="388"/>
      <c r="AQ29" s="388"/>
      <c r="AR29" s="388"/>
      <c r="AS29" s="388"/>
      <c r="AT29" s="388"/>
      <c r="AU29" s="388"/>
      <c r="AV29" s="388"/>
      <c r="AW29" s="388"/>
      <c r="AX29" s="796"/>
      <c r="AY29" s="796"/>
      <c r="AZ29" s="796"/>
      <c r="BA29" s="927"/>
    </row>
    <row r="30" spans="1:53" ht="22.8">
      <c r="A30" s="809">
        <v>1</v>
      </c>
      <c r="B30" s="927"/>
      <c r="C30" s="952"/>
      <c r="D30" s="952" t="s">
        <v>1513</v>
      </c>
      <c r="E30" s="927"/>
      <c r="F30" s="927"/>
      <c r="G30" s="927"/>
      <c r="H30" s="927"/>
      <c r="I30" s="927"/>
      <c r="J30" s="927"/>
      <c r="K30" s="927"/>
      <c r="L30" s="953" t="s">
        <v>533</v>
      </c>
      <c r="M30" s="965" t="s">
        <v>534</v>
      </c>
      <c r="N30" s="955" t="s">
        <v>352</v>
      </c>
      <c r="O30" s="388"/>
      <c r="P30" s="811"/>
      <c r="Q30" s="811"/>
      <c r="R30" s="961">
        <v>0</v>
      </c>
      <c r="S30" s="388"/>
      <c r="T30" s="388"/>
      <c r="U30" s="388"/>
      <c r="V30" s="388"/>
      <c r="W30" s="388"/>
      <c r="X30" s="388"/>
      <c r="Y30" s="388"/>
      <c r="Z30" s="388"/>
      <c r="AA30" s="388"/>
      <c r="AB30" s="388"/>
      <c r="AC30" s="388"/>
      <c r="AD30" s="388"/>
      <c r="AE30" s="388"/>
      <c r="AF30" s="388"/>
      <c r="AG30" s="388"/>
      <c r="AH30" s="388"/>
      <c r="AI30" s="388"/>
      <c r="AJ30" s="388"/>
      <c r="AK30" s="388"/>
      <c r="AL30" s="388"/>
      <c r="AM30" s="388"/>
      <c r="AN30" s="388"/>
      <c r="AO30" s="388"/>
      <c r="AP30" s="388"/>
      <c r="AQ30" s="388"/>
      <c r="AR30" s="388"/>
      <c r="AS30" s="388"/>
      <c r="AT30" s="388"/>
      <c r="AU30" s="388"/>
      <c r="AV30" s="388"/>
      <c r="AW30" s="388"/>
      <c r="AX30" s="796"/>
      <c r="AY30" s="796"/>
      <c r="AZ30" s="796"/>
      <c r="BA30" s="927"/>
    </row>
    <row r="31" spans="1:53" ht="22.8">
      <c r="A31" s="809">
        <v>1</v>
      </c>
      <c r="B31" s="927"/>
      <c r="C31" s="952"/>
      <c r="D31" s="952" t="s">
        <v>1514</v>
      </c>
      <c r="E31" s="927"/>
      <c r="F31" s="927"/>
      <c r="G31" s="927"/>
      <c r="H31" s="927"/>
      <c r="I31" s="927"/>
      <c r="J31" s="927"/>
      <c r="K31" s="927"/>
      <c r="L31" s="953" t="s">
        <v>535</v>
      </c>
      <c r="M31" s="965" t="s">
        <v>536</v>
      </c>
      <c r="N31" s="955" t="s">
        <v>352</v>
      </c>
      <c r="O31" s="388"/>
      <c r="P31" s="811"/>
      <c r="Q31" s="811"/>
      <c r="R31" s="961">
        <v>0</v>
      </c>
      <c r="S31" s="388"/>
      <c r="T31" s="388"/>
      <c r="U31" s="388"/>
      <c r="V31" s="388"/>
      <c r="W31" s="388"/>
      <c r="X31" s="388"/>
      <c r="Y31" s="388"/>
      <c r="Z31" s="388"/>
      <c r="AA31" s="388"/>
      <c r="AB31" s="388"/>
      <c r="AC31" s="388"/>
      <c r="AD31" s="388"/>
      <c r="AE31" s="388"/>
      <c r="AF31" s="388"/>
      <c r="AG31" s="388"/>
      <c r="AH31" s="388"/>
      <c r="AI31" s="388"/>
      <c r="AJ31" s="388"/>
      <c r="AK31" s="388"/>
      <c r="AL31" s="388"/>
      <c r="AM31" s="388"/>
      <c r="AN31" s="388"/>
      <c r="AO31" s="388"/>
      <c r="AP31" s="388"/>
      <c r="AQ31" s="388"/>
      <c r="AR31" s="388"/>
      <c r="AS31" s="388"/>
      <c r="AT31" s="388"/>
      <c r="AU31" s="388"/>
      <c r="AV31" s="388"/>
      <c r="AW31" s="388"/>
      <c r="AX31" s="796"/>
      <c r="AY31" s="796"/>
      <c r="AZ31" s="796"/>
      <c r="BA31" s="927"/>
    </row>
    <row r="32" spans="1:53" ht="22.8">
      <c r="A32" s="809">
        <v>1</v>
      </c>
      <c r="B32" s="927"/>
      <c r="C32" s="952"/>
      <c r="D32" s="952" t="s">
        <v>1515</v>
      </c>
      <c r="E32" s="927"/>
      <c r="F32" s="927"/>
      <c r="G32" s="927"/>
      <c r="H32" s="927"/>
      <c r="I32" s="927"/>
      <c r="J32" s="927"/>
      <c r="K32" s="927"/>
      <c r="L32" s="953" t="s">
        <v>537</v>
      </c>
      <c r="M32" s="965" t="s">
        <v>538</v>
      </c>
      <c r="N32" s="955" t="s">
        <v>352</v>
      </c>
      <c r="O32" s="388"/>
      <c r="P32" s="811"/>
      <c r="Q32" s="811"/>
      <c r="R32" s="961">
        <v>0</v>
      </c>
      <c r="S32" s="388"/>
      <c r="T32" s="388"/>
      <c r="U32" s="388"/>
      <c r="V32" s="388"/>
      <c r="W32" s="388"/>
      <c r="X32" s="388"/>
      <c r="Y32" s="388"/>
      <c r="Z32" s="388"/>
      <c r="AA32" s="388"/>
      <c r="AB32" s="388"/>
      <c r="AC32" s="388"/>
      <c r="AD32" s="388"/>
      <c r="AE32" s="388"/>
      <c r="AF32" s="388"/>
      <c r="AG32" s="388"/>
      <c r="AH32" s="388"/>
      <c r="AI32" s="388"/>
      <c r="AJ32" s="388"/>
      <c r="AK32" s="388"/>
      <c r="AL32" s="388"/>
      <c r="AM32" s="388"/>
      <c r="AN32" s="388"/>
      <c r="AO32" s="388"/>
      <c r="AP32" s="388"/>
      <c r="AQ32" s="388"/>
      <c r="AR32" s="388"/>
      <c r="AS32" s="388"/>
      <c r="AT32" s="388"/>
      <c r="AU32" s="388"/>
      <c r="AV32" s="388"/>
      <c r="AW32" s="388"/>
      <c r="AX32" s="796"/>
      <c r="AY32" s="796"/>
      <c r="AZ32" s="796"/>
      <c r="BA32" s="927"/>
    </row>
    <row r="33" spans="1:53" ht="45.6">
      <c r="A33" s="809">
        <v>1</v>
      </c>
      <c r="B33" s="927"/>
      <c r="C33" s="952"/>
      <c r="D33" s="952" t="s">
        <v>1516</v>
      </c>
      <c r="E33" s="927"/>
      <c r="F33" s="927"/>
      <c r="G33" s="927"/>
      <c r="H33" s="927"/>
      <c r="I33" s="927"/>
      <c r="J33" s="927"/>
      <c r="K33" s="927"/>
      <c r="L33" s="953" t="s">
        <v>539</v>
      </c>
      <c r="M33" s="965" t="s">
        <v>540</v>
      </c>
      <c r="N33" s="955" t="s">
        <v>352</v>
      </c>
      <c r="O33" s="388"/>
      <c r="P33" s="811"/>
      <c r="Q33" s="811"/>
      <c r="R33" s="961">
        <v>0</v>
      </c>
      <c r="S33" s="388"/>
      <c r="T33" s="388"/>
      <c r="U33" s="388"/>
      <c r="V33" s="388"/>
      <c r="W33" s="388"/>
      <c r="X33" s="388"/>
      <c r="Y33" s="388"/>
      <c r="Z33" s="388"/>
      <c r="AA33" s="388"/>
      <c r="AB33" s="388"/>
      <c r="AC33" s="388"/>
      <c r="AD33" s="388"/>
      <c r="AE33" s="388"/>
      <c r="AF33" s="388"/>
      <c r="AG33" s="388"/>
      <c r="AH33" s="388"/>
      <c r="AI33" s="388"/>
      <c r="AJ33" s="388"/>
      <c r="AK33" s="388"/>
      <c r="AL33" s="388"/>
      <c r="AM33" s="388"/>
      <c r="AN33" s="388"/>
      <c r="AO33" s="388"/>
      <c r="AP33" s="388"/>
      <c r="AQ33" s="388"/>
      <c r="AR33" s="388"/>
      <c r="AS33" s="388"/>
      <c r="AT33" s="388"/>
      <c r="AU33" s="388"/>
      <c r="AV33" s="388"/>
      <c r="AW33" s="388"/>
      <c r="AX33" s="796"/>
      <c r="AY33" s="796"/>
      <c r="AZ33" s="796"/>
      <c r="BA33" s="927"/>
    </row>
    <row r="34" spans="1:53" ht="11.4">
      <c r="A34" s="809">
        <v>1</v>
      </c>
      <c r="B34" s="927"/>
      <c r="C34" s="952"/>
      <c r="D34" s="952" t="s">
        <v>1517</v>
      </c>
      <c r="E34" s="927"/>
      <c r="F34" s="927"/>
      <c r="G34" s="927"/>
      <c r="H34" s="927"/>
      <c r="I34" s="927"/>
      <c r="J34" s="927"/>
      <c r="K34" s="927"/>
      <c r="L34" s="953" t="s">
        <v>541</v>
      </c>
      <c r="M34" s="965" t="s">
        <v>542</v>
      </c>
      <c r="N34" s="955" t="s">
        <v>352</v>
      </c>
      <c r="O34" s="388"/>
      <c r="P34" s="811"/>
      <c r="Q34" s="811"/>
      <c r="R34" s="961">
        <v>0</v>
      </c>
      <c r="S34" s="388"/>
      <c r="T34" s="388"/>
      <c r="U34" s="388"/>
      <c r="V34" s="388"/>
      <c r="W34" s="388"/>
      <c r="X34" s="388"/>
      <c r="Y34" s="388"/>
      <c r="Z34" s="388"/>
      <c r="AA34" s="388"/>
      <c r="AB34" s="388"/>
      <c r="AC34" s="388"/>
      <c r="AD34" s="388"/>
      <c r="AE34" s="388"/>
      <c r="AF34" s="388"/>
      <c r="AG34" s="388"/>
      <c r="AH34" s="388"/>
      <c r="AI34" s="388"/>
      <c r="AJ34" s="388"/>
      <c r="AK34" s="388"/>
      <c r="AL34" s="388"/>
      <c r="AM34" s="388"/>
      <c r="AN34" s="388"/>
      <c r="AO34" s="388"/>
      <c r="AP34" s="388"/>
      <c r="AQ34" s="388"/>
      <c r="AR34" s="388"/>
      <c r="AS34" s="388"/>
      <c r="AT34" s="388"/>
      <c r="AU34" s="388"/>
      <c r="AV34" s="388"/>
      <c r="AW34" s="388"/>
      <c r="AX34" s="796"/>
      <c r="AY34" s="796"/>
      <c r="AZ34" s="796"/>
      <c r="BA34" s="927"/>
    </row>
    <row r="35" spans="1:53" ht="11.4">
      <c r="A35" s="809">
        <v>1</v>
      </c>
      <c r="B35" s="927"/>
      <c r="C35" s="952"/>
      <c r="D35" s="952" t="s">
        <v>1518</v>
      </c>
      <c r="E35" s="927"/>
      <c r="F35" s="927"/>
      <c r="G35" s="927"/>
      <c r="H35" s="927"/>
      <c r="I35" s="927"/>
      <c r="J35" s="927"/>
      <c r="K35" s="927"/>
      <c r="L35" s="953" t="s">
        <v>1403</v>
      </c>
      <c r="M35" s="965" t="s">
        <v>1404</v>
      </c>
      <c r="N35" s="955" t="s">
        <v>352</v>
      </c>
      <c r="O35" s="388"/>
      <c r="P35" s="811">
        <v>3638.11</v>
      </c>
      <c r="Q35" s="811">
        <v>1800.14</v>
      </c>
      <c r="R35" s="961">
        <v>-1837.97</v>
      </c>
      <c r="S35" s="388"/>
      <c r="T35" s="388"/>
      <c r="U35" s="388"/>
      <c r="V35" s="388"/>
      <c r="W35" s="388"/>
      <c r="X35" s="388"/>
      <c r="Y35" s="388"/>
      <c r="Z35" s="388"/>
      <c r="AA35" s="388"/>
      <c r="AB35" s="388"/>
      <c r="AC35" s="388"/>
      <c r="AD35" s="388"/>
      <c r="AE35" s="388"/>
      <c r="AF35" s="388"/>
      <c r="AG35" s="388"/>
      <c r="AH35" s="388"/>
      <c r="AI35" s="388"/>
      <c r="AJ35" s="388"/>
      <c r="AK35" s="388"/>
      <c r="AL35" s="388"/>
      <c r="AM35" s="388"/>
      <c r="AN35" s="388"/>
      <c r="AO35" s="388"/>
      <c r="AP35" s="388"/>
      <c r="AQ35" s="388"/>
      <c r="AR35" s="388"/>
      <c r="AS35" s="388"/>
      <c r="AT35" s="388"/>
      <c r="AU35" s="388"/>
      <c r="AV35" s="388"/>
      <c r="AW35" s="388"/>
      <c r="AX35" s="796"/>
      <c r="AY35" s="796"/>
      <c r="AZ35" s="796"/>
      <c r="BA35" s="927"/>
    </row>
    <row r="36" spans="1:53" s="109" customFormat="1" ht="11.4">
      <c r="A36" s="809">
        <v>1</v>
      </c>
      <c r="B36" s="968"/>
      <c r="C36" s="952"/>
      <c r="D36" s="952" t="s">
        <v>1519</v>
      </c>
      <c r="E36" s="968"/>
      <c r="F36" s="968"/>
      <c r="G36" s="968"/>
      <c r="H36" s="968"/>
      <c r="I36" s="968"/>
      <c r="J36" s="968"/>
      <c r="K36" s="968"/>
      <c r="L36" s="969" t="s">
        <v>360</v>
      </c>
      <c r="M36" s="970" t="s">
        <v>543</v>
      </c>
      <c r="N36" s="971" t="s">
        <v>352</v>
      </c>
      <c r="O36" s="466"/>
      <c r="P36" s="466">
        <v>0</v>
      </c>
      <c r="Q36" s="466">
        <v>0</v>
      </c>
      <c r="R36" s="950">
        <v>0</v>
      </c>
      <c r="S36" s="466"/>
      <c r="T36" s="466"/>
      <c r="U36" s="466"/>
      <c r="V36" s="466"/>
      <c r="W36" s="466"/>
      <c r="X36" s="466"/>
      <c r="Y36" s="466"/>
      <c r="Z36" s="466"/>
      <c r="AA36" s="466"/>
      <c r="AB36" s="466"/>
      <c r="AC36" s="466"/>
      <c r="AD36" s="466"/>
      <c r="AE36" s="466"/>
      <c r="AF36" s="466"/>
      <c r="AG36" s="466"/>
      <c r="AH36" s="466"/>
      <c r="AI36" s="466"/>
      <c r="AJ36" s="466"/>
      <c r="AK36" s="466"/>
      <c r="AL36" s="466"/>
      <c r="AM36" s="466"/>
      <c r="AN36" s="466"/>
      <c r="AO36" s="466"/>
      <c r="AP36" s="466"/>
      <c r="AQ36" s="466"/>
      <c r="AR36" s="466"/>
      <c r="AS36" s="466"/>
      <c r="AT36" s="466"/>
      <c r="AU36" s="466"/>
      <c r="AV36" s="466"/>
      <c r="AW36" s="466"/>
      <c r="AX36" s="959"/>
      <c r="AY36" s="959"/>
      <c r="AZ36" s="959"/>
      <c r="BA36" s="968"/>
    </row>
    <row r="37" spans="1:53" ht="22.8">
      <c r="A37" s="809">
        <v>1</v>
      </c>
      <c r="B37" s="927"/>
      <c r="C37" s="952"/>
      <c r="D37" s="952" t="s">
        <v>1520</v>
      </c>
      <c r="E37" s="927"/>
      <c r="F37" s="927"/>
      <c r="G37" s="927"/>
      <c r="H37" s="927"/>
      <c r="I37" s="927"/>
      <c r="J37" s="927"/>
      <c r="K37" s="927"/>
      <c r="L37" s="953" t="s">
        <v>544</v>
      </c>
      <c r="M37" s="960" t="s">
        <v>545</v>
      </c>
      <c r="N37" s="955" t="s">
        <v>352</v>
      </c>
      <c r="O37" s="388"/>
      <c r="P37" s="811"/>
      <c r="Q37" s="811"/>
      <c r="R37" s="961">
        <v>0</v>
      </c>
      <c r="S37" s="388"/>
      <c r="T37" s="388"/>
      <c r="U37" s="388"/>
      <c r="V37" s="388"/>
      <c r="W37" s="388"/>
      <c r="X37" s="388"/>
      <c r="Y37" s="388"/>
      <c r="Z37" s="388"/>
      <c r="AA37" s="388"/>
      <c r="AB37" s="388"/>
      <c r="AC37" s="388"/>
      <c r="AD37" s="388"/>
      <c r="AE37" s="388"/>
      <c r="AF37" s="388"/>
      <c r="AG37" s="388"/>
      <c r="AH37" s="388"/>
      <c r="AI37" s="388"/>
      <c r="AJ37" s="388"/>
      <c r="AK37" s="388"/>
      <c r="AL37" s="388"/>
      <c r="AM37" s="388"/>
      <c r="AN37" s="388"/>
      <c r="AO37" s="388"/>
      <c r="AP37" s="388"/>
      <c r="AQ37" s="388"/>
      <c r="AR37" s="388"/>
      <c r="AS37" s="388"/>
      <c r="AT37" s="388"/>
      <c r="AU37" s="388"/>
      <c r="AV37" s="388"/>
      <c r="AW37" s="388"/>
      <c r="AX37" s="796"/>
      <c r="AY37" s="796"/>
      <c r="AZ37" s="796"/>
      <c r="BA37" s="927"/>
    </row>
    <row r="38" spans="1:53" ht="34.200000000000003">
      <c r="A38" s="809">
        <v>1</v>
      </c>
      <c r="B38" s="927"/>
      <c r="C38" s="952"/>
      <c r="D38" s="952" t="s">
        <v>1521</v>
      </c>
      <c r="E38" s="927"/>
      <c r="F38" s="927"/>
      <c r="G38" s="927"/>
      <c r="H38" s="927"/>
      <c r="I38" s="927"/>
      <c r="J38" s="927"/>
      <c r="K38" s="927"/>
      <c r="L38" s="953" t="s">
        <v>546</v>
      </c>
      <c r="M38" s="967" t="s">
        <v>547</v>
      </c>
      <c r="N38" s="955" t="s">
        <v>352</v>
      </c>
      <c r="O38" s="388"/>
      <c r="P38" s="811"/>
      <c r="Q38" s="811"/>
      <c r="R38" s="961">
        <v>0</v>
      </c>
      <c r="S38" s="388"/>
      <c r="T38" s="388"/>
      <c r="U38" s="388"/>
      <c r="V38" s="388"/>
      <c r="W38" s="388"/>
      <c r="X38" s="388"/>
      <c r="Y38" s="388"/>
      <c r="Z38" s="388"/>
      <c r="AA38" s="388"/>
      <c r="AB38" s="388"/>
      <c r="AC38" s="388"/>
      <c r="AD38" s="388"/>
      <c r="AE38" s="388"/>
      <c r="AF38" s="388"/>
      <c r="AG38" s="388"/>
      <c r="AH38" s="388"/>
      <c r="AI38" s="388"/>
      <c r="AJ38" s="388"/>
      <c r="AK38" s="388"/>
      <c r="AL38" s="388"/>
      <c r="AM38" s="388"/>
      <c r="AN38" s="388"/>
      <c r="AO38" s="388"/>
      <c r="AP38" s="388"/>
      <c r="AQ38" s="388"/>
      <c r="AR38" s="388"/>
      <c r="AS38" s="388"/>
      <c r="AT38" s="388"/>
      <c r="AU38" s="388"/>
      <c r="AV38" s="388"/>
      <c r="AW38" s="388"/>
      <c r="AX38" s="796"/>
      <c r="AY38" s="796"/>
      <c r="AZ38" s="796"/>
      <c r="BA38" s="927"/>
    </row>
    <row r="39" spans="1:53" ht="22.8">
      <c r="A39" s="809">
        <v>1</v>
      </c>
      <c r="B39" s="927"/>
      <c r="C39" s="952"/>
      <c r="D39" s="952" t="s">
        <v>1522</v>
      </c>
      <c r="E39" s="927"/>
      <c r="F39" s="927"/>
      <c r="G39" s="927"/>
      <c r="H39" s="927"/>
      <c r="I39" s="927"/>
      <c r="J39" s="927"/>
      <c r="K39" s="927"/>
      <c r="L39" s="953" t="s">
        <v>548</v>
      </c>
      <c r="M39" s="967" t="s">
        <v>1614</v>
      </c>
      <c r="N39" s="955" t="s">
        <v>352</v>
      </c>
      <c r="O39" s="388"/>
      <c r="P39" s="811"/>
      <c r="Q39" s="811"/>
      <c r="R39" s="961">
        <v>0</v>
      </c>
      <c r="S39" s="388"/>
      <c r="T39" s="388"/>
      <c r="U39" s="388"/>
      <c r="V39" s="388"/>
      <c r="W39" s="388"/>
      <c r="X39" s="388"/>
      <c r="Y39" s="388"/>
      <c r="Z39" s="388"/>
      <c r="AA39" s="388"/>
      <c r="AB39" s="388"/>
      <c r="AC39" s="388"/>
      <c r="AD39" s="388"/>
      <c r="AE39" s="388"/>
      <c r="AF39" s="388"/>
      <c r="AG39" s="388"/>
      <c r="AH39" s="388"/>
      <c r="AI39" s="388"/>
      <c r="AJ39" s="388"/>
      <c r="AK39" s="388"/>
      <c r="AL39" s="388"/>
      <c r="AM39" s="388"/>
      <c r="AN39" s="388"/>
      <c r="AO39" s="388"/>
      <c r="AP39" s="388"/>
      <c r="AQ39" s="388"/>
      <c r="AR39" s="388"/>
      <c r="AS39" s="388"/>
      <c r="AT39" s="388"/>
      <c r="AU39" s="388"/>
      <c r="AV39" s="388"/>
      <c r="AW39" s="388"/>
      <c r="AX39" s="796"/>
      <c r="AY39" s="796"/>
      <c r="AZ39" s="796"/>
      <c r="BA39" s="927"/>
    </row>
    <row r="40" spans="1:53" ht="14.4">
      <c r="A40" s="809">
        <v>1</v>
      </c>
      <c r="B40" s="933" t="s">
        <v>1523</v>
      </c>
      <c r="C40" s="952"/>
      <c r="D40" s="952" t="s">
        <v>1524</v>
      </c>
      <c r="E40" s="927"/>
      <c r="F40" s="927"/>
      <c r="G40" s="927"/>
      <c r="H40" s="927"/>
      <c r="I40" s="927"/>
      <c r="J40" s="927"/>
      <c r="K40" s="927"/>
      <c r="L40" s="953" t="s">
        <v>1154</v>
      </c>
      <c r="M40" s="963" t="s">
        <v>549</v>
      </c>
      <c r="N40" s="955" t="s">
        <v>352</v>
      </c>
      <c r="O40" s="388"/>
      <c r="P40" s="811"/>
      <c r="Q40" s="811"/>
      <c r="R40" s="961">
        <v>0</v>
      </c>
      <c r="S40" s="388"/>
      <c r="T40" s="388"/>
      <c r="U40" s="388"/>
      <c r="V40" s="388"/>
      <c r="W40" s="388"/>
      <c r="X40" s="388"/>
      <c r="Y40" s="388"/>
      <c r="Z40" s="388"/>
      <c r="AA40" s="388"/>
      <c r="AB40" s="388"/>
      <c r="AC40" s="388"/>
      <c r="AD40" s="388"/>
      <c r="AE40" s="388"/>
      <c r="AF40" s="388"/>
      <c r="AG40" s="388"/>
      <c r="AH40" s="388"/>
      <c r="AI40" s="388"/>
      <c r="AJ40" s="388"/>
      <c r="AK40" s="388"/>
      <c r="AL40" s="388"/>
      <c r="AM40" s="388"/>
      <c r="AN40" s="388"/>
      <c r="AO40" s="388"/>
      <c r="AP40" s="388"/>
      <c r="AQ40" s="388"/>
      <c r="AR40" s="388"/>
      <c r="AS40" s="388"/>
      <c r="AT40" s="388"/>
      <c r="AU40" s="388"/>
      <c r="AV40" s="388"/>
      <c r="AW40" s="388"/>
      <c r="AX40" s="796"/>
      <c r="AY40" s="796"/>
      <c r="AZ40" s="796"/>
      <c r="BA40" s="927"/>
    </row>
    <row r="41" spans="1:53" ht="22.8">
      <c r="A41" s="809">
        <v>1</v>
      </c>
      <c r="B41" s="933" t="s">
        <v>1525</v>
      </c>
      <c r="C41" s="952"/>
      <c r="D41" s="952" t="s">
        <v>1526</v>
      </c>
      <c r="E41" s="927"/>
      <c r="F41" s="927"/>
      <c r="G41" s="927"/>
      <c r="H41" s="927"/>
      <c r="I41" s="927"/>
      <c r="J41" s="927"/>
      <c r="K41" s="927"/>
      <c r="L41" s="953" t="s">
        <v>1155</v>
      </c>
      <c r="M41" s="963" t="s">
        <v>1615</v>
      </c>
      <c r="N41" s="955" t="s">
        <v>352</v>
      </c>
      <c r="O41" s="388"/>
      <c r="P41" s="811">
        <v>0</v>
      </c>
      <c r="Q41" s="811">
        <v>0</v>
      </c>
      <c r="R41" s="961">
        <v>0</v>
      </c>
      <c r="S41" s="388"/>
      <c r="T41" s="388"/>
      <c r="U41" s="388"/>
      <c r="V41" s="388"/>
      <c r="W41" s="388"/>
      <c r="X41" s="388"/>
      <c r="Y41" s="388"/>
      <c r="Z41" s="388"/>
      <c r="AA41" s="388"/>
      <c r="AB41" s="388"/>
      <c r="AC41" s="388"/>
      <c r="AD41" s="388"/>
      <c r="AE41" s="388"/>
      <c r="AF41" s="388"/>
      <c r="AG41" s="388"/>
      <c r="AH41" s="388"/>
      <c r="AI41" s="388"/>
      <c r="AJ41" s="388"/>
      <c r="AK41" s="388"/>
      <c r="AL41" s="388"/>
      <c r="AM41" s="388"/>
      <c r="AN41" s="388"/>
      <c r="AO41" s="388"/>
      <c r="AP41" s="388"/>
      <c r="AQ41" s="388"/>
      <c r="AR41" s="388"/>
      <c r="AS41" s="388"/>
      <c r="AT41" s="388"/>
      <c r="AU41" s="388"/>
      <c r="AV41" s="388"/>
      <c r="AW41" s="388"/>
      <c r="AX41" s="796"/>
      <c r="AY41" s="796"/>
      <c r="AZ41" s="796"/>
      <c r="BA41" s="927"/>
    </row>
    <row r="42" spans="1:53" s="109" customFormat="1" ht="11.4">
      <c r="A42" s="809">
        <v>1</v>
      </c>
      <c r="B42" s="968"/>
      <c r="C42" s="952"/>
      <c r="D42" s="952" t="s">
        <v>1527</v>
      </c>
      <c r="E42" s="968"/>
      <c r="F42" s="968"/>
      <c r="G42" s="968"/>
      <c r="H42" s="968"/>
      <c r="I42" s="968"/>
      <c r="J42" s="968"/>
      <c r="K42" s="968"/>
      <c r="L42" s="969" t="s">
        <v>362</v>
      </c>
      <c r="M42" s="970" t="s">
        <v>550</v>
      </c>
      <c r="N42" s="971" t="s">
        <v>352</v>
      </c>
      <c r="O42" s="466"/>
      <c r="P42" s="466">
        <v>0</v>
      </c>
      <c r="Q42" s="466">
        <v>0</v>
      </c>
      <c r="R42" s="950">
        <v>0</v>
      </c>
      <c r="S42" s="466"/>
      <c r="T42" s="466"/>
      <c r="U42" s="466"/>
      <c r="V42" s="466"/>
      <c r="W42" s="466"/>
      <c r="X42" s="466"/>
      <c r="Y42" s="466"/>
      <c r="Z42" s="466"/>
      <c r="AA42" s="466"/>
      <c r="AB42" s="466"/>
      <c r="AC42" s="466"/>
      <c r="AD42" s="466"/>
      <c r="AE42" s="466"/>
      <c r="AF42" s="466"/>
      <c r="AG42" s="466"/>
      <c r="AH42" s="466"/>
      <c r="AI42" s="466"/>
      <c r="AJ42" s="466"/>
      <c r="AK42" s="466"/>
      <c r="AL42" s="466"/>
      <c r="AM42" s="466"/>
      <c r="AN42" s="466"/>
      <c r="AO42" s="466"/>
      <c r="AP42" s="466"/>
      <c r="AQ42" s="466"/>
      <c r="AR42" s="466"/>
      <c r="AS42" s="466"/>
      <c r="AT42" s="466"/>
      <c r="AU42" s="466"/>
      <c r="AV42" s="466"/>
      <c r="AW42" s="466"/>
      <c r="AX42" s="959"/>
      <c r="AY42" s="959"/>
      <c r="AZ42" s="959"/>
      <c r="BA42" s="968"/>
    </row>
    <row r="43" spans="1:53" ht="22.8">
      <c r="A43" s="809">
        <v>1</v>
      </c>
      <c r="B43" s="927" t="s">
        <v>1528</v>
      </c>
      <c r="C43" s="952"/>
      <c r="D43" s="952" t="s">
        <v>1529</v>
      </c>
      <c r="E43" s="927"/>
      <c r="F43" s="927"/>
      <c r="G43" s="927"/>
      <c r="H43" s="927"/>
      <c r="I43" s="927"/>
      <c r="J43" s="927"/>
      <c r="K43" s="927"/>
      <c r="L43" s="953" t="s">
        <v>551</v>
      </c>
      <c r="M43" s="960" t="s">
        <v>552</v>
      </c>
      <c r="N43" s="955" t="s">
        <v>352</v>
      </c>
      <c r="O43" s="388"/>
      <c r="P43" s="388">
        <v>0</v>
      </c>
      <c r="Q43" s="388">
        <v>0</v>
      </c>
      <c r="R43" s="961">
        <v>0</v>
      </c>
      <c r="S43" s="388"/>
      <c r="T43" s="388"/>
      <c r="U43" s="388"/>
      <c r="V43" s="388"/>
      <c r="W43" s="388"/>
      <c r="X43" s="388"/>
      <c r="Y43" s="388"/>
      <c r="Z43" s="388"/>
      <c r="AA43" s="388"/>
      <c r="AB43" s="388"/>
      <c r="AC43" s="388"/>
      <c r="AD43" s="388"/>
      <c r="AE43" s="388"/>
      <c r="AF43" s="388"/>
      <c r="AG43" s="388"/>
      <c r="AH43" s="388"/>
      <c r="AI43" s="388"/>
      <c r="AJ43" s="388"/>
      <c r="AK43" s="388"/>
      <c r="AL43" s="388"/>
      <c r="AM43" s="388"/>
      <c r="AN43" s="388"/>
      <c r="AO43" s="388"/>
      <c r="AP43" s="388"/>
      <c r="AQ43" s="388"/>
      <c r="AR43" s="388"/>
      <c r="AS43" s="388"/>
      <c r="AT43" s="388"/>
      <c r="AU43" s="388"/>
      <c r="AV43" s="388"/>
      <c r="AW43" s="388"/>
      <c r="AX43" s="796"/>
      <c r="AY43" s="796"/>
      <c r="AZ43" s="796"/>
      <c r="BA43" s="927"/>
    </row>
    <row r="44" spans="1:53" ht="11.4">
      <c r="A44" s="809">
        <v>1</v>
      </c>
      <c r="B44" s="927" t="s">
        <v>1530</v>
      </c>
      <c r="C44" s="952"/>
      <c r="D44" s="952" t="s">
        <v>1531</v>
      </c>
      <c r="E44" s="927"/>
      <c r="F44" s="927"/>
      <c r="G44" s="927"/>
      <c r="H44" s="927"/>
      <c r="I44" s="927"/>
      <c r="J44" s="927"/>
      <c r="K44" s="927"/>
      <c r="L44" s="953" t="s">
        <v>553</v>
      </c>
      <c r="M44" s="963" t="s">
        <v>554</v>
      </c>
      <c r="N44" s="955" t="s">
        <v>352</v>
      </c>
      <c r="O44" s="388"/>
      <c r="P44" s="811"/>
      <c r="Q44" s="811"/>
      <c r="R44" s="961">
        <v>0</v>
      </c>
      <c r="S44" s="388"/>
      <c r="T44" s="388"/>
      <c r="U44" s="388"/>
      <c r="V44" s="388"/>
      <c r="W44" s="388"/>
      <c r="X44" s="388"/>
      <c r="Y44" s="388"/>
      <c r="Z44" s="388"/>
      <c r="AA44" s="388"/>
      <c r="AB44" s="388"/>
      <c r="AC44" s="388"/>
      <c r="AD44" s="388"/>
      <c r="AE44" s="388"/>
      <c r="AF44" s="388"/>
      <c r="AG44" s="388"/>
      <c r="AH44" s="388"/>
      <c r="AI44" s="388"/>
      <c r="AJ44" s="388"/>
      <c r="AK44" s="388"/>
      <c r="AL44" s="388"/>
      <c r="AM44" s="388"/>
      <c r="AN44" s="388"/>
      <c r="AO44" s="388"/>
      <c r="AP44" s="388"/>
      <c r="AQ44" s="388"/>
      <c r="AR44" s="388"/>
      <c r="AS44" s="388"/>
      <c r="AT44" s="388"/>
      <c r="AU44" s="388"/>
      <c r="AV44" s="388"/>
      <c r="AW44" s="388"/>
      <c r="AX44" s="796"/>
      <c r="AY44" s="796"/>
      <c r="AZ44" s="796"/>
      <c r="BA44" s="927"/>
    </row>
    <row r="45" spans="1:53" ht="11.4">
      <c r="A45" s="809">
        <v>1</v>
      </c>
      <c r="B45" s="927" t="s">
        <v>1532</v>
      </c>
      <c r="C45" s="952"/>
      <c r="D45" s="952" t="s">
        <v>1533</v>
      </c>
      <c r="E45" s="927"/>
      <c r="F45" s="927"/>
      <c r="G45" s="927"/>
      <c r="H45" s="927"/>
      <c r="I45" s="927"/>
      <c r="J45" s="927"/>
      <c r="K45" s="927"/>
      <c r="L45" s="953" t="s">
        <v>555</v>
      </c>
      <c r="M45" s="963" t="s">
        <v>556</v>
      </c>
      <c r="N45" s="955" t="s">
        <v>352</v>
      </c>
      <c r="O45" s="388"/>
      <c r="P45" s="811"/>
      <c r="Q45" s="811"/>
      <c r="R45" s="961">
        <v>0</v>
      </c>
      <c r="S45" s="388"/>
      <c r="T45" s="388"/>
      <c r="U45" s="388"/>
      <c r="V45" s="388"/>
      <c r="W45" s="388"/>
      <c r="X45" s="388"/>
      <c r="Y45" s="388"/>
      <c r="Z45" s="388"/>
      <c r="AA45" s="388"/>
      <c r="AB45" s="388"/>
      <c r="AC45" s="388"/>
      <c r="AD45" s="388"/>
      <c r="AE45" s="388"/>
      <c r="AF45" s="388"/>
      <c r="AG45" s="388"/>
      <c r="AH45" s="388"/>
      <c r="AI45" s="388"/>
      <c r="AJ45" s="388"/>
      <c r="AK45" s="388"/>
      <c r="AL45" s="388"/>
      <c r="AM45" s="388"/>
      <c r="AN45" s="388"/>
      <c r="AO45" s="388"/>
      <c r="AP45" s="388"/>
      <c r="AQ45" s="388"/>
      <c r="AR45" s="388"/>
      <c r="AS45" s="388"/>
      <c r="AT45" s="388"/>
      <c r="AU45" s="388"/>
      <c r="AV45" s="388"/>
      <c r="AW45" s="388"/>
      <c r="AX45" s="796"/>
      <c r="AY45" s="796"/>
      <c r="AZ45" s="796"/>
      <c r="BA45" s="927"/>
    </row>
    <row r="46" spans="1:53" ht="11.4">
      <c r="A46" s="809">
        <v>1</v>
      </c>
      <c r="B46" s="927" t="s">
        <v>1534</v>
      </c>
      <c r="C46" s="952"/>
      <c r="D46" s="952" t="s">
        <v>1535</v>
      </c>
      <c r="E46" s="927"/>
      <c r="F46" s="927"/>
      <c r="G46" s="927"/>
      <c r="H46" s="927"/>
      <c r="I46" s="927"/>
      <c r="J46" s="927"/>
      <c r="K46" s="927"/>
      <c r="L46" s="953" t="s">
        <v>557</v>
      </c>
      <c r="M46" s="963" t="s">
        <v>558</v>
      </c>
      <c r="N46" s="955" t="s">
        <v>352</v>
      </c>
      <c r="O46" s="388"/>
      <c r="P46" s="811"/>
      <c r="Q46" s="811"/>
      <c r="R46" s="961">
        <v>0</v>
      </c>
      <c r="S46" s="388"/>
      <c r="T46" s="388"/>
      <c r="U46" s="388"/>
      <c r="V46" s="388"/>
      <c r="W46" s="388"/>
      <c r="X46" s="388"/>
      <c r="Y46" s="388"/>
      <c r="Z46" s="388"/>
      <c r="AA46" s="388"/>
      <c r="AB46" s="388"/>
      <c r="AC46" s="388"/>
      <c r="AD46" s="388"/>
      <c r="AE46" s="388"/>
      <c r="AF46" s="388"/>
      <c r="AG46" s="388"/>
      <c r="AH46" s="388"/>
      <c r="AI46" s="388"/>
      <c r="AJ46" s="388"/>
      <c r="AK46" s="388"/>
      <c r="AL46" s="388"/>
      <c r="AM46" s="388"/>
      <c r="AN46" s="388"/>
      <c r="AO46" s="388"/>
      <c r="AP46" s="388"/>
      <c r="AQ46" s="388"/>
      <c r="AR46" s="388"/>
      <c r="AS46" s="388"/>
      <c r="AT46" s="388"/>
      <c r="AU46" s="388"/>
      <c r="AV46" s="388"/>
      <c r="AW46" s="388"/>
      <c r="AX46" s="796"/>
      <c r="AY46" s="796"/>
      <c r="AZ46" s="796"/>
      <c r="BA46" s="927"/>
    </row>
    <row r="47" spans="1:53" ht="11.4">
      <c r="A47" s="809">
        <v>1</v>
      </c>
      <c r="B47" s="927" t="s">
        <v>1536</v>
      </c>
      <c r="C47" s="952"/>
      <c r="D47" s="952" t="s">
        <v>1537</v>
      </c>
      <c r="E47" s="927"/>
      <c r="F47" s="927"/>
      <c r="G47" s="927"/>
      <c r="H47" s="927"/>
      <c r="I47" s="927"/>
      <c r="J47" s="927"/>
      <c r="K47" s="927"/>
      <c r="L47" s="953" t="s">
        <v>559</v>
      </c>
      <c r="M47" s="963" t="s">
        <v>560</v>
      </c>
      <c r="N47" s="955" t="s">
        <v>352</v>
      </c>
      <c r="O47" s="388"/>
      <c r="P47" s="811"/>
      <c r="Q47" s="811"/>
      <c r="R47" s="961">
        <v>0</v>
      </c>
      <c r="S47" s="388"/>
      <c r="T47" s="388"/>
      <c r="U47" s="388"/>
      <c r="V47" s="388"/>
      <c r="W47" s="388"/>
      <c r="X47" s="388"/>
      <c r="Y47" s="388"/>
      <c r="Z47" s="388"/>
      <c r="AA47" s="388"/>
      <c r="AB47" s="388"/>
      <c r="AC47" s="388"/>
      <c r="AD47" s="388"/>
      <c r="AE47" s="388"/>
      <c r="AF47" s="388"/>
      <c r="AG47" s="388"/>
      <c r="AH47" s="388"/>
      <c r="AI47" s="388"/>
      <c r="AJ47" s="388"/>
      <c r="AK47" s="388"/>
      <c r="AL47" s="388"/>
      <c r="AM47" s="388"/>
      <c r="AN47" s="388"/>
      <c r="AO47" s="388"/>
      <c r="AP47" s="388"/>
      <c r="AQ47" s="388"/>
      <c r="AR47" s="388"/>
      <c r="AS47" s="388"/>
      <c r="AT47" s="388"/>
      <c r="AU47" s="388"/>
      <c r="AV47" s="388"/>
      <c r="AW47" s="388"/>
      <c r="AX47" s="796"/>
      <c r="AY47" s="796"/>
      <c r="AZ47" s="796"/>
      <c r="BA47" s="927"/>
    </row>
    <row r="48" spans="1:53" ht="11.4">
      <c r="A48" s="809">
        <v>1</v>
      </c>
      <c r="B48" s="927" t="s">
        <v>1538</v>
      </c>
      <c r="C48" s="952"/>
      <c r="D48" s="952" t="s">
        <v>1539</v>
      </c>
      <c r="E48" s="927"/>
      <c r="F48" s="927"/>
      <c r="G48" s="927"/>
      <c r="H48" s="927"/>
      <c r="I48" s="927"/>
      <c r="J48" s="927"/>
      <c r="K48" s="927"/>
      <c r="L48" s="953" t="s">
        <v>561</v>
      </c>
      <c r="M48" s="963" t="s">
        <v>562</v>
      </c>
      <c r="N48" s="955" t="s">
        <v>352</v>
      </c>
      <c r="O48" s="388"/>
      <c r="P48" s="811"/>
      <c r="Q48" s="811"/>
      <c r="R48" s="961">
        <v>0</v>
      </c>
      <c r="S48" s="388"/>
      <c r="T48" s="388"/>
      <c r="U48" s="388"/>
      <c r="V48" s="388"/>
      <c r="W48" s="388"/>
      <c r="X48" s="388"/>
      <c r="Y48" s="388"/>
      <c r="Z48" s="388"/>
      <c r="AA48" s="388"/>
      <c r="AB48" s="388"/>
      <c r="AC48" s="388"/>
      <c r="AD48" s="388"/>
      <c r="AE48" s="388"/>
      <c r="AF48" s="388"/>
      <c r="AG48" s="388"/>
      <c r="AH48" s="388"/>
      <c r="AI48" s="388"/>
      <c r="AJ48" s="388"/>
      <c r="AK48" s="388"/>
      <c r="AL48" s="388"/>
      <c r="AM48" s="388"/>
      <c r="AN48" s="388"/>
      <c r="AO48" s="388"/>
      <c r="AP48" s="388"/>
      <c r="AQ48" s="388"/>
      <c r="AR48" s="388"/>
      <c r="AS48" s="388"/>
      <c r="AT48" s="388"/>
      <c r="AU48" s="388"/>
      <c r="AV48" s="388"/>
      <c r="AW48" s="388"/>
      <c r="AX48" s="796"/>
      <c r="AY48" s="796"/>
      <c r="AZ48" s="796"/>
      <c r="BA48" s="927"/>
    </row>
    <row r="49" spans="1:53" ht="11.4">
      <c r="A49" s="809">
        <v>1</v>
      </c>
      <c r="B49" s="927" t="s">
        <v>1540</v>
      </c>
      <c r="C49" s="952"/>
      <c r="D49" s="952" t="s">
        <v>1541</v>
      </c>
      <c r="E49" s="927"/>
      <c r="F49" s="927"/>
      <c r="G49" s="927"/>
      <c r="H49" s="927"/>
      <c r="I49" s="927"/>
      <c r="J49" s="927"/>
      <c r="K49" s="927"/>
      <c r="L49" s="953" t="s">
        <v>563</v>
      </c>
      <c r="M49" s="963" t="s">
        <v>564</v>
      </c>
      <c r="N49" s="955" t="s">
        <v>352</v>
      </c>
      <c r="O49" s="388"/>
      <c r="P49" s="811"/>
      <c r="Q49" s="811"/>
      <c r="R49" s="961">
        <v>0</v>
      </c>
      <c r="S49" s="388"/>
      <c r="T49" s="388"/>
      <c r="U49" s="388"/>
      <c r="V49" s="388"/>
      <c r="W49" s="388"/>
      <c r="X49" s="388"/>
      <c r="Y49" s="388"/>
      <c r="Z49" s="388"/>
      <c r="AA49" s="388"/>
      <c r="AB49" s="388"/>
      <c r="AC49" s="388"/>
      <c r="AD49" s="388"/>
      <c r="AE49" s="388"/>
      <c r="AF49" s="388"/>
      <c r="AG49" s="388"/>
      <c r="AH49" s="388"/>
      <c r="AI49" s="388"/>
      <c r="AJ49" s="388"/>
      <c r="AK49" s="388"/>
      <c r="AL49" s="388"/>
      <c r="AM49" s="388"/>
      <c r="AN49" s="388"/>
      <c r="AO49" s="388"/>
      <c r="AP49" s="388"/>
      <c r="AQ49" s="388"/>
      <c r="AR49" s="388"/>
      <c r="AS49" s="388"/>
      <c r="AT49" s="388"/>
      <c r="AU49" s="388"/>
      <c r="AV49" s="388"/>
      <c r="AW49" s="388"/>
      <c r="AX49" s="796"/>
      <c r="AY49" s="796"/>
      <c r="AZ49" s="796"/>
      <c r="BA49" s="927"/>
    </row>
    <row r="50" spans="1:53" ht="11.4">
      <c r="A50" s="809">
        <v>1</v>
      </c>
      <c r="B50" s="927" t="s">
        <v>1542</v>
      </c>
      <c r="C50" s="952"/>
      <c r="D50" s="952" t="s">
        <v>1543</v>
      </c>
      <c r="E50" s="927"/>
      <c r="F50" s="927"/>
      <c r="G50" s="927"/>
      <c r="H50" s="927"/>
      <c r="I50" s="927"/>
      <c r="J50" s="927"/>
      <c r="K50" s="927"/>
      <c r="L50" s="953" t="s">
        <v>1401</v>
      </c>
      <c r="M50" s="963" t="s">
        <v>1402</v>
      </c>
      <c r="N50" s="955" t="s">
        <v>352</v>
      </c>
      <c r="O50" s="388"/>
      <c r="P50" s="811"/>
      <c r="Q50" s="811"/>
      <c r="R50" s="961">
        <v>0</v>
      </c>
      <c r="S50" s="388"/>
      <c r="T50" s="388"/>
      <c r="U50" s="388"/>
      <c r="V50" s="388"/>
      <c r="W50" s="388"/>
      <c r="X50" s="388"/>
      <c r="Y50" s="388"/>
      <c r="Z50" s="388"/>
      <c r="AA50" s="388"/>
      <c r="AB50" s="388"/>
      <c r="AC50" s="388"/>
      <c r="AD50" s="388"/>
      <c r="AE50" s="388"/>
      <c r="AF50" s="388"/>
      <c r="AG50" s="388"/>
      <c r="AH50" s="388"/>
      <c r="AI50" s="388"/>
      <c r="AJ50" s="388"/>
      <c r="AK50" s="388"/>
      <c r="AL50" s="388"/>
      <c r="AM50" s="388"/>
      <c r="AN50" s="388"/>
      <c r="AO50" s="388"/>
      <c r="AP50" s="388"/>
      <c r="AQ50" s="388"/>
      <c r="AR50" s="388"/>
      <c r="AS50" s="388"/>
      <c r="AT50" s="388"/>
      <c r="AU50" s="388"/>
      <c r="AV50" s="388"/>
      <c r="AW50" s="388"/>
      <c r="AX50" s="796"/>
      <c r="AY50" s="796"/>
      <c r="AZ50" s="796"/>
      <c r="BA50" s="927"/>
    </row>
    <row r="51" spans="1:53" ht="34.200000000000003">
      <c r="A51" s="809">
        <v>1</v>
      </c>
      <c r="B51" s="927"/>
      <c r="C51" s="952"/>
      <c r="D51" s="952" t="s">
        <v>1544</v>
      </c>
      <c r="E51" s="927"/>
      <c r="F51" s="927"/>
      <c r="G51" s="927"/>
      <c r="H51" s="927"/>
      <c r="I51" s="927"/>
      <c r="J51" s="927"/>
      <c r="K51" s="927"/>
      <c r="L51" s="953" t="s">
        <v>565</v>
      </c>
      <c r="M51" s="960" t="s">
        <v>1616</v>
      </c>
      <c r="N51" s="955" t="s">
        <v>352</v>
      </c>
      <c r="O51" s="388"/>
      <c r="P51" s="388">
        <v>0</v>
      </c>
      <c r="Q51" s="388">
        <v>0</v>
      </c>
      <c r="R51" s="961">
        <v>0</v>
      </c>
      <c r="S51" s="388"/>
      <c r="T51" s="388"/>
      <c r="U51" s="388"/>
      <c r="V51" s="388"/>
      <c r="W51" s="388"/>
      <c r="X51" s="388"/>
      <c r="Y51" s="388"/>
      <c r="Z51" s="388"/>
      <c r="AA51" s="388"/>
      <c r="AB51" s="388"/>
      <c r="AC51" s="388"/>
      <c r="AD51" s="388"/>
      <c r="AE51" s="388"/>
      <c r="AF51" s="388"/>
      <c r="AG51" s="388"/>
      <c r="AH51" s="388"/>
      <c r="AI51" s="388"/>
      <c r="AJ51" s="388"/>
      <c r="AK51" s="388"/>
      <c r="AL51" s="388"/>
      <c r="AM51" s="388"/>
      <c r="AN51" s="388"/>
      <c r="AO51" s="388"/>
      <c r="AP51" s="388"/>
      <c r="AQ51" s="388"/>
      <c r="AR51" s="388"/>
      <c r="AS51" s="388"/>
      <c r="AT51" s="388"/>
      <c r="AU51" s="388"/>
      <c r="AV51" s="388"/>
      <c r="AW51" s="388"/>
      <c r="AX51" s="796"/>
      <c r="AY51" s="796"/>
      <c r="AZ51" s="796"/>
      <c r="BA51" s="927"/>
    </row>
    <row r="52" spans="1:53" ht="11.4">
      <c r="A52" s="809">
        <v>1</v>
      </c>
      <c r="B52" s="927" t="s">
        <v>1545</v>
      </c>
      <c r="C52" s="952"/>
      <c r="D52" s="952" t="s">
        <v>1546</v>
      </c>
      <c r="E52" s="927"/>
      <c r="F52" s="927"/>
      <c r="G52" s="927"/>
      <c r="H52" s="927"/>
      <c r="I52" s="927"/>
      <c r="J52" s="927"/>
      <c r="K52" s="927"/>
      <c r="L52" s="953" t="s">
        <v>566</v>
      </c>
      <c r="M52" s="963" t="s">
        <v>567</v>
      </c>
      <c r="N52" s="955" t="s">
        <v>352</v>
      </c>
      <c r="O52" s="388"/>
      <c r="P52" s="811"/>
      <c r="Q52" s="811"/>
      <c r="R52" s="961">
        <v>0</v>
      </c>
      <c r="S52" s="388"/>
      <c r="T52" s="388"/>
      <c r="U52" s="388"/>
      <c r="V52" s="388"/>
      <c r="W52" s="388"/>
      <c r="X52" s="388"/>
      <c r="Y52" s="388"/>
      <c r="Z52" s="388"/>
      <c r="AA52" s="388"/>
      <c r="AB52" s="388"/>
      <c r="AC52" s="388"/>
      <c r="AD52" s="388"/>
      <c r="AE52" s="388"/>
      <c r="AF52" s="388"/>
      <c r="AG52" s="388"/>
      <c r="AH52" s="388"/>
      <c r="AI52" s="388"/>
      <c r="AJ52" s="388"/>
      <c r="AK52" s="388"/>
      <c r="AL52" s="388"/>
      <c r="AM52" s="388"/>
      <c r="AN52" s="388"/>
      <c r="AO52" s="388"/>
      <c r="AP52" s="388"/>
      <c r="AQ52" s="388"/>
      <c r="AR52" s="388"/>
      <c r="AS52" s="388"/>
      <c r="AT52" s="388"/>
      <c r="AU52" s="388"/>
      <c r="AV52" s="388"/>
      <c r="AW52" s="388"/>
      <c r="AX52" s="796"/>
      <c r="AY52" s="796"/>
      <c r="AZ52" s="796"/>
      <c r="BA52" s="927"/>
    </row>
    <row r="53" spans="1:53" ht="22.8">
      <c r="A53" s="809">
        <v>1</v>
      </c>
      <c r="B53" s="927" t="s">
        <v>1547</v>
      </c>
      <c r="C53" s="952"/>
      <c r="D53" s="952" t="s">
        <v>1548</v>
      </c>
      <c r="E53" s="927"/>
      <c r="F53" s="927"/>
      <c r="G53" s="927"/>
      <c r="H53" s="927"/>
      <c r="I53" s="927"/>
      <c r="J53" s="927"/>
      <c r="K53" s="927"/>
      <c r="L53" s="953" t="s">
        <v>568</v>
      </c>
      <c r="M53" s="963" t="s">
        <v>1617</v>
      </c>
      <c r="N53" s="955" t="s">
        <v>352</v>
      </c>
      <c r="O53" s="388"/>
      <c r="P53" s="811">
        <v>0</v>
      </c>
      <c r="Q53" s="811">
        <v>0</v>
      </c>
      <c r="R53" s="961">
        <v>0</v>
      </c>
      <c r="S53" s="388"/>
      <c r="T53" s="388"/>
      <c r="U53" s="388"/>
      <c r="V53" s="388"/>
      <c r="W53" s="388"/>
      <c r="X53" s="388"/>
      <c r="Y53" s="388"/>
      <c r="Z53" s="388"/>
      <c r="AA53" s="388"/>
      <c r="AB53" s="388"/>
      <c r="AC53" s="388"/>
      <c r="AD53" s="388"/>
      <c r="AE53" s="388"/>
      <c r="AF53" s="388"/>
      <c r="AG53" s="388"/>
      <c r="AH53" s="388"/>
      <c r="AI53" s="388"/>
      <c r="AJ53" s="388"/>
      <c r="AK53" s="388"/>
      <c r="AL53" s="388"/>
      <c r="AM53" s="388"/>
      <c r="AN53" s="388"/>
      <c r="AO53" s="388"/>
      <c r="AP53" s="388"/>
      <c r="AQ53" s="388"/>
      <c r="AR53" s="388"/>
      <c r="AS53" s="388"/>
      <c r="AT53" s="388"/>
      <c r="AU53" s="388"/>
      <c r="AV53" s="388"/>
      <c r="AW53" s="388"/>
      <c r="AX53" s="796"/>
      <c r="AY53" s="796"/>
      <c r="AZ53" s="796"/>
      <c r="BA53" s="927"/>
    </row>
    <row r="54" spans="1:53" ht="34.200000000000003">
      <c r="A54" s="809">
        <v>1</v>
      </c>
      <c r="B54" s="933" t="s">
        <v>1549</v>
      </c>
      <c r="C54" s="952"/>
      <c r="D54" s="952" t="s">
        <v>1550</v>
      </c>
      <c r="E54" s="927"/>
      <c r="F54" s="927"/>
      <c r="G54" s="927"/>
      <c r="H54" s="927"/>
      <c r="I54" s="927"/>
      <c r="J54" s="927"/>
      <c r="K54" s="927"/>
      <c r="L54" s="953" t="s">
        <v>569</v>
      </c>
      <c r="M54" s="960" t="s">
        <v>570</v>
      </c>
      <c r="N54" s="955" t="s">
        <v>352</v>
      </c>
      <c r="O54" s="388"/>
      <c r="P54" s="811"/>
      <c r="Q54" s="811"/>
      <c r="R54" s="961">
        <v>0</v>
      </c>
      <c r="S54" s="388"/>
      <c r="T54" s="388"/>
      <c r="U54" s="388"/>
      <c r="V54" s="388"/>
      <c r="W54" s="388"/>
      <c r="X54" s="388"/>
      <c r="Y54" s="388"/>
      <c r="Z54" s="388"/>
      <c r="AA54" s="388"/>
      <c r="AB54" s="388"/>
      <c r="AC54" s="388"/>
      <c r="AD54" s="388"/>
      <c r="AE54" s="388"/>
      <c r="AF54" s="388"/>
      <c r="AG54" s="388"/>
      <c r="AH54" s="388"/>
      <c r="AI54" s="388"/>
      <c r="AJ54" s="388"/>
      <c r="AK54" s="388"/>
      <c r="AL54" s="388"/>
      <c r="AM54" s="388"/>
      <c r="AN54" s="388"/>
      <c r="AO54" s="388"/>
      <c r="AP54" s="388"/>
      <c r="AQ54" s="388"/>
      <c r="AR54" s="388"/>
      <c r="AS54" s="388"/>
      <c r="AT54" s="388"/>
      <c r="AU54" s="388"/>
      <c r="AV54" s="388"/>
      <c r="AW54" s="388"/>
      <c r="AX54" s="796"/>
      <c r="AY54" s="796"/>
      <c r="AZ54" s="796"/>
      <c r="BA54" s="927"/>
    </row>
    <row r="55" spans="1:53" ht="14.4">
      <c r="A55" s="809">
        <v>1</v>
      </c>
      <c r="B55" s="933" t="s">
        <v>1551</v>
      </c>
      <c r="C55" s="952"/>
      <c r="D55" s="952" t="s">
        <v>1552</v>
      </c>
      <c r="E55" s="927"/>
      <c r="F55" s="927"/>
      <c r="G55" s="927"/>
      <c r="H55" s="927"/>
      <c r="I55" s="927"/>
      <c r="J55" s="927"/>
      <c r="K55" s="927"/>
      <c r="L55" s="953" t="s">
        <v>571</v>
      </c>
      <c r="M55" s="960" t="s">
        <v>572</v>
      </c>
      <c r="N55" s="955" t="s">
        <v>352</v>
      </c>
      <c r="O55" s="388"/>
      <c r="P55" s="811"/>
      <c r="Q55" s="811"/>
      <c r="R55" s="961">
        <v>0</v>
      </c>
      <c r="S55" s="388"/>
      <c r="T55" s="388"/>
      <c r="U55" s="388"/>
      <c r="V55" s="388"/>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796"/>
      <c r="AY55" s="796"/>
      <c r="AZ55" s="796"/>
      <c r="BA55" s="927"/>
    </row>
    <row r="56" spans="1:53" ht="14.4">
      <c r="A56" s="809">
        <v>1</v>
      </c>
      <c r="B56" s="933" t="s">
        <v>1553</v>
      </c>
      <c r="C56" s="952"/>
      <c r="D56" s="952" t="s">
        <v>1554</v>
      </c>
      <c r="E56" s="927"/>
      <c r="F56" s="927"/>
      <c r="G56" s="927"/>
      <c r="H56" s="927"/>
      <c r="I56" s="927"/>
      <c r="J56" s="927"/>
      <c r="K56" s="927"/>
      <c r="L56" s="953" t="s">
        <v>573</v>
      </c>
      <c r="M56" s="960" t="s">
        <v>574</v>
      </c>
      <c r="N56" s="955" t="s">
        <v>352</v>
      </c>
      <c r="O56" s="388"/>
      <c r="P56" s="811"/>
      <c r="Q56" s="811"/>
      <c r="R56" s="961">
        <v>0</v>
      </c>
      <c r="S56" s="388"/>
      <c r="T56" s="388"/>
      <c r="U56" s="388"/>
      <c r="V56" s="388"/>
      <c r="W56" s="388"/>
      <c r="X56" s="388"/>
      <c r="Y56" s="388"/>
      <c r="Z56" s="388"/>
      <c r="AA56" s="388"/>
      <c r="AB56" s="388"/>
      <c r="AC56" s="388"/>
      <c r="AD56" s="388"/>
      <c r="AE56" s="388"/>
      <c r="AF56" s="388"/>
      <c r="AG56" s="388"/>
      <c r="AH56" s="388"/>
      <c r="AI56" s="388"/>
      <c r="AJ56" s="388"/>
      <c r="AK56" s="388"/>
      <c r="AL56" s="388"/>
      <c r="AM56" s="388"/>
      <c r="AN56" s="388"/>
      <c r="AO56" s="388"/>
      <c r="AP56" s="388"/>
      <c r="AQ56" s="388"/>
      <c r="AR56" s="388"/>
      <c r="AS56" s="388"/>
      <c r="AT56" s="388"/>
      <c r="AU56" s="388"/>
      <c r="AV56" s="388"/>
      <c r="AW56" s="388"/>
      <c r="AX56" s="796"/>
      <c r="AY56" s="796"/>
      <c r="AZ56" s="796"/>
      <c r="BA56" s="927"/>
    </row>
    <row r="57" spans="1:53" ht="14.4">
      <c r="A57" s="809">
        <v>1</v>
      </c>
      <c r="B57" s="933" t="s">
        <v>1555</v>
      </c>
      <c r="C57" s="952"/>
      <c r="D57" s="952" t="s">
        <v>1556</v>
      </c>
      <c r="E57" s="927"/>
      <c r="F57" s="927"/>
      <c r="G57" s="927"/>
      <c r="H57" s="927"/>
      <c r="I57" s="927"/>
      <c r="J57" s="927"/>
      <c r="K57" s="927"/>
      <c r="L57" s="953" t="s">
        <v>575</v>
      </c>
      <c r="M57" s="960" t="s">
        <v>576</v>
      </c>
      <c r="N57" s="955" t="s">
        <v>352</v>
      </c>
      <c r="O57" s="388"/>
      <c r="P57" s="811"/>
      <c r="Q57" s="811"/>
      <c r="R57" s="961">
        <v>0</v>
      </c>
      <c r="S57" s="388"/>
      <c r="T57" s="388"/>
      <c r="U57" s="388"/>
      <c r="V57" s="388"/>
      <c r="W57" s="388"/>
      <c r="X57" s="388"/>
      <c r="Y57" s="388"/>
      <c r="Z57" s="388"/>
      <c r="AA57" s="388"/>
      <c r="AB57" s="388"/>
      <c r="AC57" s="388"/>
      <c r="AD57" s="388"/>
      <c r="AE57" s="388"/>
      <c r="AF57" s="388"/>
      <c r="AG57" s="388"/>
      <c r="AH57" s="388"/>
      <c r="AI57" s="388"/>
      <c r="AJ57" s="388"/>
      <c r="AK57" s="388"/>
      <c r="AL57" s="388"/>
      <c r="AM57" s="388"/>
      <c r="AN57" s="388"/>
      <c r="AO57" s="388"/>
      <c r="AP57" s="388"/>
      <c r="AQ57" s="388"/>
      <c r="AR57" s="388"/>
      <c r="AS57" s="388"/>
      <c r="AT57" s="388"/>
      <c r="AU57" s="388"/>
      <c r="AV57" s="388"/>
      <c r="AW57" s="388"/>
      <c r="AX57" s="796"/>
      <c r="AY57" s="796"/>
      <c r="AZ57" s="796"/>
      <c r="BA57" s="927"/>
    </row>
    <row r="58" spans="1:53" ht="14.4">
      <c r="A58" s="809">
        <v>1</v>
      </c>
      <c r="B58" s="933" t="s">
        <v>1557</v>
      </c>
      <c r="C58" s="952"/>
      <c r="D58" s="952" t="s">
        <v>1558</v>
      </c>
      <c r="E58" s="927"/>
      <c r="F58" s="927"/>
      <c r="G58" s="927"/>
      <c r="H58" s="927"/>
      <c r="I58" s="927"/>
      <c r="J58" s="927"/>
      <c r="K58" s="927"/>
      <c r="L58" s="953" t="s">
        <v>577</v>
      </c>
      <c r="M58" s="960" t="s">
        <v>578</v>
      </c>
      <c r="N58" s="955" t="s">
        <v>352</v>
      </c>
      <c r="O58" s="388"/>
      <c r="P58" s="388">
        <v>0</v>
      </c>
      <c r="Q58" s="388">
        <v>0</v>
      </c>
      <c r="R58" s="961">
        <v>0</v>
      </c>
      <c r="S58" s="388"/>
      <c r="T58" s="388"/>
      <c r="U58" s="388"/>
      <c r="V58" s="388"/>
      <c r="W58" s="388"/>
      <c r="X58" s="388"/>
      <c r="Y58" s="388"/>
      <c r="Z58" s="388"/>
      <c r="AA58" s="388"/>
      <c r="AB58" s="388"/>
      <c r="AC58" s="388"/>
      <c r="AD58" s="388"/>
      <c r="AE58" s="388"/>
      <c r="AF58" s="388"/>
      <c r="AG58" s="388"/>
      <c r="AH58" s="388"/>
      <c r="AI58" s="388"/>
      <c r="AJ58" s="388"/>
      <c r="AK58" s="388"/>
      <c r="AL58" s="388"/>
      <c r="AM58" s="388"/>
      <c r="AN58" s="388"/>
      <c r="AO58" s="388"/>
      <c r="AP58" s="388"/>
      <c r="AQ58" s="388"/>
      <c r="AR58" s="388"/>
      <c r="AS58" s="388"/>
      <c r="AT58" s="388"/>
      <c r="AU58" s="388"/>
      <c r="AV58" s="388"/>
      <c r="AW58" s="388"/>
      <c r="AX58" s="796"/>
      <c r="AY58" s="796"/>
      <c r="AZ58" s="796"/>
      <c r="BA58" s="927"/>
    </row>
    <row r="59" spans="1:53" ht="14.4">
      <c r="A59" s="809">
        <v>1</v>
      </c>
      <c r="B59" s="933" t="s">
        <v>1559</v>
      </c>
      <c r="C59" s="952"/>
      <c r="D59" s="952" t="s">
        <v>1560</v>
      </c>
      <c r="E59" s="927"/>
      <c r="F59" s="927"/>
      <c r="G59" s="927"/>
      <c r="H59" s="927"/>
      <c r="I59" s="927"/>
      <c r="J59" s="927"/>
      <c r="K59" s="927"/>
      <c r="L59" s="953" t="s">
        <v>1308</v>
      </c>
      <c r="M59" s="965" t="s">
        <v>579</v>
      </c>
      <c r="N59" s="955" t="s">
        <v>352</v>
      </c>
      <c r="O59" s="388"/>
      <c r="P59" s="811"/>
      <c r="Q59" s="811"/>
      <c r="R59" s="961">
        <v>0</v>
      </c>
      <c r="S59" s="388"/>
      <c r="T59" s="388"/>
      <c r="U59" s="388"/>
      <c r="V59" s="388"/>
      <c r="W59" s="388"/>
      <c r="X59" s="388"/>
      <c r="Y59" s="388"/>
      <c r="Z59" s="388"/>
      <c r="AA59" s="388"/>
      <c r="AB59" s="388"/>
      <c r="AC59" s="388"/>
      <c r="AD59" s="388"/>
      <c r="AE59" s="388"/>
      <c r="AF59" s="388"/>
      <c r="AG59" s="388"/>
      <c r="AH59" s="388"/>
      <c r="AI59" s="388"/>
      <c r="AJ59" s="388"/>
      <c r="AK59" s="388"/>
      <c r="AL59" s="388"/>
      <c r="AM59" s="388"/>
      <c r="AN59" s="388"/>
      <c r="AO59" s="388"/>
      <c r="AP59" s="388"/>
      <c r="AQ59" s="388"/>
      <c r="AR59" s="388"/>
      <c r="AS59" s="388"/>
      <c r="AT59" s="388"/>
      <c r="AU59" s="388"/>
      <c r="AV59" s="388"/>
      <c r="AW59" s="388"/>
      <c r="AX59" s="796"/>
      <c r="AY59" s="796"/>
      <c r="AZ59" s="796"/>
      <c r="BA59" s="927"/>
    </row>
    <row r="60" spans="1:53" ht="14.4">
      <c r="A60" s="809">
        <v>1</v>
      </c>
      <c r="B60" s="933" t="s">
        <v>1561</v>
      </c>
      <c r="C60" s="952"/>
      <c r="D60" s="952" t="s">
        <v>1562</v>
      </c>
      <c r="E60" s="927"/>
      <c r="F60" s="927"/>
      <c r="G60" s="927"/>
      <c r="H60" s="927"/>
      <c r="I60" s="927"/>
      <c r="J60" s="927"/>
      <c r="K60" s="927"/>
      <c r="L60" s="953" t="s">
        <v>1309</v>
      </c>
      <c r="M60" s="965" t="s">
        <v>580</v>
      </c>
      <c r="N60" s="955" t="s">
        <v>352</v>
      </c>
      <c r="O60" s="388"/>
      <c r="P60" s="811"/>
      <c r="Q60" s="811"/>
      <c r="R60" s="961">
        <v>0</v>
      </c>
      <c r="S60" s="388"/>
      <c r="T60" s="388"/>
      <c r="U60" s="388"/>
      <c r="V60" s="388"/>
      <c r="W60" s="388"/>
      <c r="X60" s="388"/>
      <c r="Y60" s="388"/>
      <c r="Z60" s="388"/>
      <c r="AA60" s="388"/>
      <c r="AB60" s="388"/>
      <c r="AC60" s="388"/>
      <c r="AD60" s="388"/>
      <c r="AE60" s="388"/>
      <c r="AF60" s="388"/>
      <c r="AG60" s="388"/>
      <c r="AH60" s="388"/>
      <c r="AI60" s="388"/>
      <c r="AJ60" s="388"/>
      <c r="AK60" s="388"/>
      <c r="AL60" s="388"/>
      <c r="AM60" s="388"/>
      <c r="AN60" s="388"/>
      <c r="AO60" s="388"/>
      <c r="AP60" s="388"/>
      <c r="AQ60" s="388"/>
      <c r="AR60" s="388"/>
      <c r="AS60" s="388"/>
      <c r="AT60" s="388"/>
      <c r="AU60" s="388"/>
      <c r="AV60" s="388"/>
      <c r="AW60" s="388"/>
      <c r="AX60" s="796"/>
      <c r="AY60" s="796"/>
      <c r="AZ60" s="796"/>
      <c r="BA60" s="927"/>
    </row>
    <row r="61" spans="1:53" ht="11.4">
      <c r="A61" s="809">
        <v>1</v>
      </c>
      <c r="B61" s="927" t="s">
        <v>1563</v>
      </c>
      <c r="C61" s="952"/>
      <c r="D61" s="952" t="s">
        <v>1564</v>
      </c>
      <c r="E61" s="927"/>
      <c r="F61" s="927"/>
      <c r="G61" s="927"/>
      <c r="H61" s="927"/>
      <c r="I61" s="927"/>
      <c r="J61" s="927"/>
      <c r="K61" s="927"/>
      <c r="L61" s="953" t="s">
        <v>1399</v>
      </c>
      <c r="M61" s="963" t="s">
        <v>1400</v>
      </c>
      <c r="N61" s="955" t="s">
        <v>352</v>
      </c>
      <c r="O61" s="388"/>
      <c r="P61" s="811"/>
      <c r="Q61" s="811"/>
      <c r="R61" s="961">
        <v>0</v>
      </c>
      <c r="S61" s="388"/>
      <c r="T61" s="388"/>
      <c r="U61" s="388"/>
      <c r="V61" s="388"/>
      <c r="W61" s="388"/>
      <c r="X61" s="388"/>
      <c r="Y61" s="388"/>
      <c r="Z61" s="388"/>
      <c r="AA61" s="388"/>
      <c r="AB61" s="388"/>
      <c r="AC61" s="388"/>
      <c r="AD61" s="388"/>
      <c r="AE61" s="388"/>
      <c r="AF61" s="388"/>
      <c r="AG61" s="388"/>
      <c r="AH61" s="388"/>
      <c r="AI61" s="388"/>
      <c r="AJ61" s="388"/>
      <c r="AK61" s="388"/>
      <c r="AL61" s="388"/>
      <c r="AM61" s="388"/>
      <c r="AN61" s="388"/>
      <c r="AO61" s="388"/>
      <c r="AP61" s="388"/>
      <c r="AQ61" s="388"/>
      <c r="AR61" s="388"/>
      <c r="AS61" s="388"/>
      <c r="AT61" s="388"/>
      <c r="AU61" s="388"/>
      <c r="AV61" s="388"/>
      <c r="AW61" s="388"/>
      <c r="AX61" s="796"/>
      <c r="AY61" s="796"/>
      <c r="AZ61" s="796"/>
      <c r="BA61" s="927"/>
    </row>
    <row r="62" spans="1:53" ht="22.8">
      <c r="A62" s="809">
        <v>1</v>
      </c>
      <c r="B62" s="927"/>
      <c r="C62" s="952"/>
      <c r="D62" s="952" t="s">
        <v>1565</v>
      </c>
      <c r="E62" s="927"/>
      <c r="F62" s="927"/>
      <c r="G62" s="927"/>
      <c r="H62" s="927"/>
      <c r="I62" s="927"/>
      <c r="J62" s="927"/>
      <c r="K62" s="927"/>
      <c r="L62" s="953" t="s">
        <v>364</v>
      </c>
      <c r="M62" s="954" t="s">
        <v>581</v>
      </c>
      <c r="N62" s="955" t="s">
        <v>352</v>
      </c>
      <c r="O62" s="388"/>
      <c r="P62" s="811"/>
      <c r="Q62" s="811"/>
      <c r="R62" s="961">
        <v>0</v>
      </c>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796"/>
      <c r="AY62" s="796"/>
      <c r="AZ62" s="796"/>
      <c r="BA62" s="927"/>
    </row>
    <row r="63" spans="1:53" ht="11.4">
      <c r="A63" s="809">
        <v>1</v>
      </c>
      <c r="B63" s="927"/>
      <c r="C63" s="952"/>
      <c r="D63" s="952" t="s">
        <v>1566</v>
      </c>
      <c r="E63" s="927"/>
      <c r="F63" s="927"/>
      <c r="G63" s="927"/>
      <c r="H63" s="927"/>
      <c r="I63" s="927"/>
      <c r="J63" s="927"/>
      <c r="K63" s="927"/>
      <c r="L63" s="953" t="s">
        <v>1207</v>
      </c>
      <c r="M63" s="954" t="s">
        <v>1208</v>
      </c>
      <c r="N63" s="955" t="s">
        <v>352</v>
      </c>
      <c r="O63" s="388"/>
      <c r="P63" s="811"/>
      <c r="Q63" s="811"/>
      <c r="R63" s="961">
        <v>0</v>
      </c>
      <c r="S63" s="388"/>
      <c r="T63" s="388"/>
      <c r="U63" s="388"/>
      <c r="V63" s="388"/>
      <c r="W63" s="388"/>
      <c r="X63" s="388"/>
      <c r="Y63" s="388"/>
      <c r="Z63" s="388"/>
      <c r="AA63" s="388"/>
      <c r="AB63" s="388"/>
      <c r="AC63" s="388"/>
      <c r="AD63" s="388"/>
      <c r="AE63" s="388"/>
      <c r="AF63" s="388"/>
      <c r="AG63" s="388"/>
      <c r="AH63" s="388"/>
      <c r="AI63" s="388"/>
      <c r="AJ63" s="388"/>
      <c r="AK63" s="388"/>
      <c r="AL63" s="388"/>
      <c r="AM63" s="388"/>
      <c r="AN63" s="388"/>
      <c r="AO63" s="388"/>
      <c r="AP63" s="388"/>
      <c r="AQ63" s="388"/>
      <c r="AR63" s="388"/>
      <c r="AS63" s="388"/>
      <c r="AT63" s="388"/>
      <c r="AU63" s="388"/>
      <c r="AV63" s="388"/>
      <c r="AW63" s="388"/>
      <c r="AX63" s="796"/>
      <c r="AY63" s="796"/>
      <c r="AZ63" s="796"/>
      <c r="BA63" s="927"/>
    </row>
    <row r="64" spans="1:53" s="109" customFormat="1" ht="11.4">
      <c r="A64" s="809">
        <v>1</v>
      </c>
      <c r="B64" s="968"/>
      <c r="C64" s="952"/>
      <c r="D64" s="952" t="s">
        <v>1567</v>
      </c>
      <c r="E64" s="968"/>
      <c r="F64" s="968"/>
      <c r="G64" s="968"/>
      <c r="H64" s="968"/>
      <c r="I64" s="968"/>
      <c r="J64" s="968"/>
      <c r="K64" s="968"/>
      <c r="L64" s="969" t="s">
        <v>1324</v>
      </c>
      <c r="M64" s="970" t="s">
        <v>1325</v>
      </c>
      <c r="N64" s="971" t="s">
        <v>352</v>
      </c>
      <c r="O64" s="466"/>
      <c r="P64" s="950">
        <v>0</v>
      </c>
      <c r="Q64" s="950">
        <v>0</v>
      </c>
      <c r="R64" s="950">
        <v>0</v>
      </c>
      <c r="S64" s="466"/>
      <c r="T64" s="388"/>
      <c r="U64" s="950"/>
      <c r="V64" s="950"/>
      <c r="W64" s="950"/>
      <c r="X64" s="950"/>
      <c r="Y64" s="950"/>
      <c r="Z64" s="950"/>
      <c r="AA64" s="950"/>
      <c r="AB64" s="950"/>
      <c r="AC64" s="950"/>
      <c r="AD64" s="388"/>
      <c r="AE64" s="388"/>
      <c r="AF64" s="950"/>
      <c r="AG64" s="950"/>
      <c r="AH64" s="950"/>
      <c r="AI64" s="950"/>
      <c r="AJ64" s="950"/>
      <c r="AK64" s="950"/>
      <c r="AL64" s="950"/>
      <c r="AM64" s="950"/>
      <c r="AN64" s="950"/>
      <c r="AO64" s="950"/>
      <c r="AP64" s="950"/>
      <c r="AQ64" s="950"/>
      <c r="AR64" s="950"/>
      <c r="AS64" s="950"/>
      <c r="AT64" s="950"/>
      <c r="AU64" s="950"/>
      <c r="AV64" s="950"/>
      <c r="AW64" s="950"/>
      <c r="AX64" s="959"/>
      <c r="AY64" s="959"/>
      <c r="AZ64" s="959"/>
      <c r="BA64" s="968"/>
    </row>
    <row r="65" spans="1:53" ht="11.4">
      <c r="A65" s="809">
        <v>1</v>
      </c>
      <c r="B65" s="927"/>
      <c r="C65" s="927"/>
      <c r="D65" s="927"/>
      <c r="E65" s="927"/>
      <c r="F65" s="927"/>
      <c r="G65" s="927"/>
      <c r="H65" s="927"/>
      <c r="I65" s="927"/>
      <c r="J65" s="927"/>
      <c r="K65" s="927"/>
      <c r="L65" s="953" t="s">
        <v>1326</v>
      </c>
      <c r="M65" s="954"/>
      <c r="N65" s="955"/>
      <c r="O65" s="388"/>
      <c r="P65" s="961"/>
      <c r="Q65" s="961"/>
      <c r="R65" s="961"/>
      <c r="S65" s="388"/>
      <c r="T65" s="961"/>
      <c r="U65" s="961"/>
      <c r="V65" s="961"/>
      <c r="W65" s="961"/>
      <c r="X65" s="961"/>
      <c r="Y65" s="961"/>
      <c r="Z65" s="961"/>
      <c r="AA65" s="961"/>
      <c r="AB65" s="961"/>
      <c r="AC65" s="961"/>
      <c r="AD65" s="961"/>
      <c r="AE65" s="961"/>
      <c r="AF65" s="961"/>
      <c r="AG65" s="961"/>
      <c r="AH65" s="961"/>
      <c r="AI65" s="961"/>
      <c r="AJ65" s="961"/>
      <c r="AK65" s="961"/>
      <c r="AL65" s="961"/>
      <c r="AM65" s="961"/>
      <c r="AN65" s="961"/>
      <c r="AO65" s="961"/>
      <c r="AP65" s="961"/>
      <c r="AQ65" s="961"/>
      <c r="AR65" s="961"/>
      <c r="AS65" s="961"/>
      <c r="AT65" s="961"/>
      <c r="AU65" s="961"/>
      <c r="AV65" s="961"/>
      <c r="AW65" s="961"/>
      <c r="AX65" s="972"/>
      <c r="AY65" s="972"/>
      <c r="AZ65" s="972"/>
      <c r="BA65" s="927"/>
    </row>
    <row r="66" spans="1:53" s="109" customFormat="1" ht="11.4">
      <c r="A66" s="809">
        <v>1</v>
      </c>
      <c r="B66" s="968"/>
      <c r="C66" s="927"/>
      <c r="D66" s="927" t="s">
        <v>1438</v>
      </c>
      <c r="E66" s="968"/>
      <c r="F66" s="968"/>
      <c r="G66" s="968"/>
      <c r="H66" s="968"/>
      <c r="I66" s="968"/>
      <c r="J66" s="968"/>
      <c r="K66" s="968"/>
      <c r="L66" s="946" t="s">
        <v>102</v>
      </c>
      <c r="M66" s="947" t="s">
        <v>582</v>
      </c>
      <c r="N66" s="948" t="s">
        <v>352</v>
      </c>
      <c r="O66" s="950">
        <v>36.340000000000003</v>
      </c>
      <c r="P66" s="950">
        <v>19.52</v>
      </c>
      <c r="Q66" s="950">
        <v>0</v>
      </c>
      <c r="R66" s="950">
        <v>-19.52</v>
      </c>
      <c r="S66" s="950">
        <v>34.9</v>
      </c>
      <c r="T66" s="950">
        <v>19.52</v>
      </c>
      <c r="U66" s="950">
        <v>0</v>
      </c>
      <c r="V66" s="950">
        <v>0</v>
      </c>
      <c r="W66" s="950">
        <v>0</v>
      </c>
      <c r="X66" s="950">
        <v>0</v>
      </c>
      <c r="Y66" s="950">
        <v>0</v>
      </c>
      <c r="Z66" s="950">
        <v>0</v>
      </c>
      <c r="AA66" s="950">
        <v>0</v>
      </c>
      <c r="AB66" s="950">
        <v>0</v>
      </c>
      <c r="AC66" s="950">
        <v>0</v>
      </c>
      <c r="AD66" s="950">
        <v>0</v>
      </c>
      <c r="AE66" s="950">
        <v>0</v>
      </c>
      <c r="AF66" s="950">
        <v>0</v>
      </c>
      <c r="AG66" s="950">
        <v>0</v>
      </c>
      <c r="AH66" s="950">
        <v>0</v>
      </c>
      <c r="AI66" s="950">
        <v>0</v>
      </c>
      <c r="AJ66" s="950">
        <v>0</v>
      </c>
      <c r="AK66" s="950">
        <v>0</v>
      </c>
      <c r="AL66" s="950">
        <v>0</v>
      </c>
      <c r="AM66" s="950">
        <v>0</v>
      </c>
      <c r="AN66" s="950">
        <v>-100</v>
      </c>
      <c r="AO66" s="950">
        <v>0</v>
      </c>
      <c r="AP66" s="950">
        <v>0</v>
      </c>
      <c r="AQ66" s="950">
        <v>0</v>
      </c>
      <c r="AR66" s="950">
        <v>0</v>
      </c>
      <c r="AS66" s="950">
        <v>0</v>
      </c>
      <c r="AT66" s="950">
        <v>0</v>
      </c>
      <c r="AU66" s="950">
        <v>0</v>
      </c>
      <c r="AV66" s="950">
        <v>0</v>
      </c>
      <c r="AW66" s="950">
        <v>0</v>
      </c>
      <c r="AX66" s="796"/>
      <c r="AY66" s="796"/>
      <c r="AZ66" s="796"/>
      <c r="BA66" s="951"/>
    </row>
    <row r="67" spans="1:53" s="109" customFormat="1" ht="22.8">
      <c r="A67" s="809">
        <v>1</v>
      </c>
      <c r="B67" s="968"/>
      <c r="C67" s="927"/>
      <c r="D67" s="927" t="s">
        <v>1439</v>
      </c>
      <c r="E67" s="968"/>
      <c r="F67" s="968"/>
      <c r="G67" s="968"/>
      <c r="H67" s="968"/>
      <c r="I67" s="968"/>
      <c r="J67" s="968"/>
      <c r="K67" s="968"/>
      <c r="L67" s="969" t="s">
        <v>17</v>
      </c>
      <c r="M67" s="970" t="s">
        <v>583</v>
      </c>
      <c r="N67" s="971" t="s">
        <v>352</v>
      </c>
      <c r="O67" s="950">
        <v>0</v>
      </c>
      <c r="P67" s="950">
        <v>0</v>
      </c>
      <c r="Q67" s="950">
        <v>0</v>
      </c>
      <c r="R67" s="950">
        <v>0</v>
      </c>
      <c r="S67" s="950">
        <v>0</v>
      </c>
      <c r="T67" s="950">
        <v>0</v>
      </c>
      <c r="U67" s="950">
        <v>0</v>
      </c>
      <c r="V67" s="950">
        <v>0</v>
      </c>
      <c r="W67" s="950">
        <v>0</v>
      </c>
      <c r="X67" s="950">
        <v>0</v>
      </c>
      <c r="Y67" s="950">
        <v>0</v>
      </c>
      <c r="Z67" s="950">
        <v>0</v>
      </c>
      <c r="AA67" s="950">
        <v>0</v>
      </c>
      <c r="AB67" s="950">
        <v>0</v>
      </c>
      <c r="AC67" s="950">
        <v>0</v>
      </c>
      <c r="AD67" s="950">
        <v>0</v>
      </c>
      <c r="AE67" s="950">
        <v>0</v>
      </c>
      <c r="AF67" s="950">
        <v>0</v>
      </c>
      <c r="AG67" s="950">
        <v>0</v>
      </c>
      <c r="AH67" s="950">
        <v>0</v>
      </c>
      <c r="AI67" s="950">
        <v>0</v>
      </c>
      <c r="AJ67" s="950">
        <v>0</v>
      </c>
      <c r="AK67" s="950">
        <v>0</v>
      </c>
      <c r="AL67" s="950">
        <v>0</v>
      </c>
      <c r="AM67" s="950">
        <v>0</v>
      </c>
      <c r="AN67" s="950">
        <v>0</v>
      </c>
      <c r="AO67" s="950">
        <v>0</v>
      </c>
      <c r="AP67" s="950">
        <v>0</v>
      </c>
      <c r="AQ67" s="950">
        <v>0</v>
      </c>
      <c r="AR67" s="950">
        <v>0</v>
      </c>
      <c r="AS67" s="950">
        <v>0</v>
      </c>
      <c r="AT67" s="950">
        <v>0</v>
      </c>
      <c r="AU67" s="950">
        <v>0</v>
      </c>
      <c r="AV67" s="950">
        <v>0</v>
      </c>
      <c r="AW67" s="950">
        <v>0</v>
      </c>
      <c r="AX67" s="959"/>
      <c r="AY67" s="959"/>
      <c r="AZ67" s="959"/>
      <c r="BA67" s="968"/>
    </row>
    <row r="68" spans="1:53" ht="11.4">
      <c r="A68" s="809">
        <v>1</v>
      </c>
      <c r="B68" s="927" t="s">
        <v>408</v>
      </c>
      <c r="C68" s="927"/>
      <c r="D68" s="927" t="s">
        <v>1440</v>
      </c>
      <c r="E68" s="927"/>
      <c r="F68" s="927"/>
      <c r="G68" s="927"/>
      <c r="H68" s="927"/>
      <c r="I68" s="927"/>
      <c r="J68" s="927"/>
      <c r="K68" s="927"/>
      <c r="L68" s="953" t="s">
        <v>136</v>
      </c>
      <c r="M68" s="960" t="s">
        <v>584</v>
      </c>
      <c r="N68" s="955" t="s">
        <v>352</v>
      </c>
      <c r="O68" s="388">
        <v>0</v>
      </c>
      <c r="P68" s="388">
        <v>0</v>
      </c>
      <c r="Q68" s="388">
        <v>0</v>
      </c>
      <c r="R68" s="961">
        <v>0</v>
      </c>
      <c r="S68" s="388">
        <v>0</v>
      </c>
      <c r="T68" s="388">
        <v>0</v>
      </c>
      <c r="U68" s="388">
        <v>0</v>
      </c>
      <c r="V68" s="388">
        <v>0</v>
      </c>
      <c r="W68" s="388">
        <v>0</v>
      </c>
      <c r="X68" s="388">
        <v>0</v>
      </c>
      <c r="Y68" s="388">
        <v>0</v>
      </c>
      <c r="Z68" s="388">
        <v>0</v>
      </c>
      <c r="AA68" s="388">
        <v>0</v>
      </c>
      <c r="AB68" s="388">
        <v>0</v>
      </c>
      <c r="AC68" s="388">
        <v>0</v>
      </c>
      <c r="AD68" s="388">
        <v>0</v>
      </c>
      <c r="AE68" s="388">
        <v>0</v>
      </c>
      <c r="AF68" s="388">
        <v>0</v>
      </c>
      <c r="AG68" s="388">
        <v>0</v>
      </c>
      <c r="AH68" s="388">
        <v>0</v>
      </c>
      <c r="AI68" s="388">
        <v>0</v>
      </c>
      <c r="AJ68" s="388">
        <v>0</v>
      </c>
      <c r="AK68" s="388">
        <v>0</v>
      </c>
      <c r="AL68" s="388">
        <v>0</v>
      </c>
      <c r="AM68" s="388">
        <v>0</v>
      </c>
      <c r="AN68" s="961">
        <v>0</v>
      </c>
      <c r="AO68" s="961">
        <v>0</v>
      </c>
      <c r="AP68" s="961">
        <v>0</v>
      </c>
      <c r="AQ68" s="961">
        <v>0</v>
      </c>
      <c r="AR68" s="961">
        <v>0</v>
      </c>
      <c r="AS68" s="961">
        <v>0</v>
      </c>
      <c r="AT68" s="961">
        <v>0</v>
      </c>
      <c r="AU68" s="961">
        <v>0</v>
      </c>
      <c r="AV68" s="961">
        <v>0</v>
      </c>
      <c r="AW68" s="961">
        <v>0</v>
      </c>
      <c r="AX68" s="796"/>
      <c r="AY68" s="796"/>
      <c r="AZ68" s="796"/>
      <c r="BA68" s="927"/>
    </row>
    <row r="69" spans="1:53" ht="11.4">
      <c r="A69" s="809">
        <v>1</v>
      </c>
      <c r="B69" s="927" t="s">
        <v>409</v>
      </c>
      <c r="C69" s="927"/>
      <c r="D69" s="927" t="s">
        <v>1441</v>
      </c>
      <c r="E69" s="927"/>
      <c r="F69" s="927"/>
      <c r="G69" s="927"/>
      <c r="H69" s="927"/>
      <c r="I69" s="927"/>
      <c r="J69" s="927"/>
      <c r="K69" s="927"/>
      <c r="L69" s="953" t="s">
        <v>585</v>
      </c>
      <c r="M69" s="960" t="s">
        <v>586</v>
      </c>
      <c r="N69" s="955" t="s">
        <v>352</v>
      </c>
      <c r="O69" s="388">
        <v>0</v>
      </c>
      <c r="P69" s="388">
        <v>0</v>
      </c>
      <c r="Q69" s="388">
        <v>0</v>
      </c>
      <c r="R69" s="961">
        <v>0</v>
      </c>
      <c r="S69" s="388">
        <v>0</v>
      </c>
      <c r="T69" s="388">
        <v>0</v>
      </c>
      <c r="U69" s="388">
        <v>0</v>
      </c>
      <c r="V69" s="388">
        <v>0</v>
      </c>
      <c r="W69" s="388">
        <v>0</v>
      </c>
      <c r="X69" s="388">
        <v>0</v>
      </c>
      <c r="Y69" s="388">
        <v>0</v>
      </c>
      <c r="Z69" s="388">
        <v>0</v>
      </c>
      <c r="AA69" s="388">
        <v>0</v>
      </c>
      <c r="AB69" s="388">
        <v>0</v>
      </c>
      <c r="AC69" s="388">
        <v>0</v>
      </c>
      <c r="AD69" s="388">
        <v>0</v>
      </c>
      <c r="AE69" s="388">
        <v>0</v>
      </c>
      <c r="AF69" s="388">
        <v>0</v>
      </c>
      <c r="AG69" s="388">
        <v>0</v>
      </c>
      <c r="AH69" s="388">
        <v>0</v>
      </c>
      <c r="AI69" s="388">
        <v>0</v>
      </c>
      <c r="AJ69" s="388">
        <v>0</v>
      </c>
      <c r="AK69" s="388">
        <v>0</v>
      </c>
      <c r="AL69" s="388">
        <v>0</v>
      </c>
      <c r="AM69" s="388">
        <v>0</v>
      </c>
      <c r="AN69" s="961">
        <v>0</v>
      </c>
      <c r="AO69" s="961">
        <v>0</v>
      </c>
      <c r="AP69" s="961">
        <v>0</v>
      </c>
      <c r="AQ69" s="961">
        <v>0</v>
      </c>
      <c r="AR69" s="961">
        <v>0</v>
      </c>
      <c r="AS69" s="961">
        <v>0</v>
      </c>
      <c r="AT69" s="961">
        <v>0</v>
      </c>
      <c r="AU69" s="961">
        <v>0</v>
      </c>
      <c r="AV69" s="961">
        <v>0</v>
      </c>
      <c r="AW69" s="961">
        <v>0</v>
      </c>
      <c r="AX69" s="796"/>
      <c r="AY69" s="796"/>
      <c r="AZ69" s="796"/>
      <c r="BA69" s="927"/>
    </row>
    <row r="70" spans="1:53" ht="11.4">
      <c r="A70" s="809">
        <v>1</v>
      </c>
      <c r="B70" s="927" t="s">
        <v>404</v>
      </c>
      <c r="C70" s="927"/>
      <c r="D70" s="927" t="s">
        <v>1568</v>
      </c>
      <c r="E70" s="927"/>
      <c r="F70" s="927"/>
      <c r="G70" s="927"/>
      <c r="H70" s="927"/>
      <c r="I70" s="927"/>
      <c r="J70" s="927"/>
      <c r="K70" s="927"/>
      <c r="L70" s="953" t="s">
        <v>587</v>
      </c>
      <c r="M70" s="960" t="s">
        <v>588</v>
      </c>
      <c r="N70" s="955" t="s">
        <v>352</v>
      </c>
      <c r="O70" s="388">
        <v>0</v>
      </c>
      <c r="P70" s="388">
        <v>0</v>
      </c>
      <c r="Q70" s="388">
        <v>0</v>
      </c>
      <c r="R70" s="961">
        <v>0</v>
      </c>
      <c r="S70" s="388">
        <v>0</v>
      </c>
      <c r="T70" s="388">
        <v>0</v>
      </c>
      <c r="U70" s="388">
        <v>0</v>
      </c>
      <c r="V70" s="388">
        <v>0</v>
      </c>
      <c r="W70" s="388">
        <v>0</v>
      </c>
      <c r="X70" s="388">
        <v>0</v>
      </c>
      <c r="Y70" s="388">
        <v>0</v>
      </c>
      <c r="Z70" s="388">
        <v>0</v>
      </c>
      <c r="AA70" s="388">
        <v>0</v>
      </c>
      <c r="AB70" s="388">
        <v>0</v>
      </c>
      <c r="AC70" s="388">
        <v>0</v>
      </c>
      <c r="AD70" s="388">
        <v>0</v>
      </c>
      <c r="AE70" s="388">
        <v>0</v>
      </c>
      <c r="AF70" s="388">
        <v>0</v>
      </c>
      <c r="AG70" s="388">
        <v>0</v>
      </c>
      <c r="AH70" s="388">
        <v>0</v>
      </c>
      <c r="AI70" s="388">
        <v>0</v>
      </c>
      <c r="AJ70" s="388">
        <v>0</v>
      </c>
      <c r="AK70" s="388">
        <v>0</v>
      </c>
      <c r="AL70" s="388">
        <v>0</v>
      </c>
      <c r="AM70" s="388">
        <v>0</v>
      </c>
      <c r="AN70" s="961">
        <v>0</v>
      </c>
      <c r="AO70" s="961">
        <v>0</v>
      </c>
      <c r="AP70" s="961">
        <v>0</v>
      </c>
      <c r="AQ70" s="961">
        <v>0</v>
      </c>
      <c r="AR70" s="961">
        <v>0</v>
      </c>
      <c r="AS70" s="961">
        <v>0</v>
      </c>
      <c r="AT70" s="961">
        <v>0</v>
      </c>
      <c r="AU70" s="961">
        <v>0</v>
      </c>
      <c r="AV70" s="961">
        <v>0</v>
      </c>
      <c r="AW70" s="961">
        <v>0</v>
      </c>
      <c r="AX70" s="796"/>
      <c r="AY70" s="796"/>
      <c r="AZ70" s="796"/>
      <c r="BA70" s="927"/>
    </row>
    <row r="71" spans="1:53" ht="11.4">
      <c r="A71" s="809">
        <v>1</v>
      </c>
      <c r="B71" s="927" t="s">
        <v>402</v>
      </c>
      <c r="C71" s="927"/>
      <c r="D71" s="927" t="s">
        <v>1569</v>
      </c>
      <c r="E71" s="927"/>
      <c r="F71" s="927"/>
      <c r="G71" s="927"/>
      <c r="H71" s="927"/>
      <c r="I71" s="927"/>
      <c r="J71" s="927"/>
      <c r="K71" s="927"/>
      <c r="L71" s="953" t="s">
        <v>589</v>
      </c>
      <c r="M71" s="960" t="s">
        <v>590</v>
      </c>
      <c r="N71" s="955" t="s">
        <v>352</v>
      </c>
      <c r="O71" s="388">
        <v>0</v>
      </c>
      <c r="P71" s="388">
        <v>0</v>
      </c>
      <c r="Q71" s="388">
        <v>0</v>
      </c>
      <c r="R71" s="961">
        <v>0</v>
      </c>
      <c r="S71" s="388">
        <v>0</v>
      </c>
      <c r="T71" s="388">
        <v>0</v>
      </c>
      <c r="U71" s="388">
        <v>0</v>
      </c>
      <c r="V71" s="388">
        <v>0</v>
      </c>
      <c r="W71" s="388">
        <v>0</v>
      </c>
      <c r="X71" s="388">
        <v>0</v>
      </c>
      <c r="Y71" s="388">
        <v>0</v>
      </c>
      <c r="Z71" s="388">
        <v>0</v>
      </c>
      <c r="AA71" s="388">
        <v>0</v>
      </c>
      <c r="AB71" s="388">
        <v>0</v>
      </c>
      <c r="AC71" s="388">
        <v>0</v>
      </c>
      <c r="AD71" s="388">
        <v>0</v>
      </c>
      <c r="AE71" s="388">
        <v>0</v>
      </c>
      <c r="AF71" s="388">
        <v>0</v>
      </c>
      <c r="AG71" s="388">
        <v>0</v>
      </c>
      <c r="AH71" s="388">
        <v>0</v>
      </c>
      <c r="AI71" s="388">
        <v>0</v>
      </c>
      <c r="AJ71" s="388">
        <v>0</v>
      </c>
      <c r="AK71" s="388">
        <v>0</v>
      </c>
      <c r="AL71" s="388">
        <v>0</v>
      </c>
      <c r="AM71" s="388">
        <v>0</v>
      </c>
      <c r="AN71" s="961">
        <v>0</v>
      </c>
      <c r="AO71" s="961">
        <v>0</v>
      </c>
      <c r="AP71" s="961">
        <v>0</v>
      </c>
      <c r="AQ71" s="961">
        <v>0</v>
      </c>
      <c r="AR71" s="961">
        <v>0</v>
      </c>
      <c r="AS71" s="961">
        <v>0</v>
      </c>
      <c r="AT71" s="961">
        <v>0</v>
      </c>
      <c r="AU71" s="961">
        <v>0</v>
      </c>
      <c r="AV71" s="961">
        <v>0</v>
      </c>
      <c r="AW71" s="961">
        <v>0</v>
      </c>
      <c r="AX71" s="796"/>
      <c r="AY71" s="796"/>
      <c r="AZ71" s="796"/>
      <c r="BA71" s="927"/>
    </row>
    <row r="72" spans="1:53" ht="11.4">
      <c r="A72" s="809">
        <v>1</v>
      </c>
      <c r="B72" s="927" t="s">
        <v>410</v>
      </c>
      <c r="C72" s="927"/>
      <c r="D72" s="927" t="s">
        <v>1570</v>
      </c>
      <c r="E72" s="927"/>
      <c r="F72" s="927"/>
      <c r="G72" s="927"/>
      <c r="H72" s="927"/>
      <c r="I72" s="927"/>
      <c r="J72" s="927"/>
      <c r="K72" s="927"/>
      <c r="L72" s="953" t="s">
        <v>591</v>
      </c>
      <c r="M72" s="960" t="s">
        <v>592</v>
      </c>
      <c r="N72" s="955" t="s">
        <v>352</v>
      </c>
      <c r="O72" s="388">
        <v>0</v>
      </c>
      <c r="P72" s="388">
        <v>0</v>
      </c>
      <c r="Q72" s="388">
        <v>0</v>
      </c>
      <c r="R72" s="961">
        <v>0</v>
      </c>
      <c r="S72" s="388">
        <v>0</v>
      </c>
      <c r="T72" s="388">
        <v>0</v>
      </c>
      <c r="U72" s="388">
        <v>0</v>
      </c>
      <c r="V72" s="388">
        <v>0</v>
      </c>
      <c r="W72" s="388">
        <v>0</v>
      </c>
      <c r="X72" s="388">
        <v>0</v>
      </c>
      <c r="Y72" s="388">
        <v>0</v>
      </c>
      <c r="Z72" s="388">
        <v>0</v>
      </c>
      <c r="AA72" s="388">
        <v>0</v>
      </c>
      <c r="AB72" s="388">
        <v>0</v>
      </c>
      <c r="AC72" s="388">
        <v>0</v>
      </c>
      <c r="AD72" s="388">
        <v>0</v>
      </c>
      <c r="AE72" s="388">
        <v>0</v>
      </c>
      <c r="AF72" s="388">
        <v>0</v>
      </c>
      <c r="AG72" s="388">
        <v>0</v>
      </c>
      <c r="AH72" s="388">
        <v>0</v>
      </c>
      <c r="AI72" s="388">
        <v>0</v>
      </c>
      <c r="AJ72" s="388">
        <v>0</v>
      </c>
      <c r="AK72" s="388">
        <v>0</v>
      </c>
      <c r="AL72" s="388">
        <v>0</v>
      </c>
      <c r="AM72" s="388">
        <v>0</v>
      </c>
      <c r="AN72" s="961">
        <v>0</v>
      </c>
      <c r="AO72" s="961">
        <v>0</v>
      </c>
      <c r="AP72" s="961">
        <v>0</v>
      </c>
      <c r="AQ72" s="961">
        <v>0</v>
      </c>
      <c r="AR72" s="961">
        <v>0</v>
      </c>
      <c r="AS72" s="961">
        <v>0</v>
      </c>
      <c r="AT72" s="961">
        <v>0</v>
      </c>
      <c r="AU72" s="961">
        <v>0</v>
      </c>
      <c r="AV72" s="961">
        <v>0</v>
      </c>
      <c r="AW72" s="961">
        <v>0</v>
      </c>
      <c r="AX72" s="796"/>
      <c r="AY72" s="796"/>
      <c r="AZ72" s="796"/>
      <c r="BA72" s="927"/>
    </row>
    <row r="73" spans="1:53" ht="11.4">
      <c r="A73" s="809">
        <v>1</v>
      </c>
      <c r="B73" s="927"/>
      <c r="C73" s="927"/>
      <c r="D73" s="927" t="s">
        <v>1571</v>
      </c>
      <c r="E73" s="927"/>
      <c r="F73" s="927"/>
      <c r="G73" s="927"/>
      <c r="H73" s="927"/>
      <c r="I73" s="927"/>
      <c r="J73" s="927"/>
      <c r="K73" s="927"/>
      <c r="L73" s="953" t="s">
        <v>593</v>
      </c>
      <c r="M73" s="960" t="s">
        <v>594</v>
      </c>
      <c r="N73" s="955" t="s">
        <v>352</v>
      </c>
      <c r="O73" s="811"/>
      <c r="P73" s="811"/>
      <c r="Q73" s="811"/>
      <c r="R73" s="961">
        <v>0</v>
      </c>
      <c r="S73" s="811"/>
      <c r="T73" s="811"/>
      <c r="U73" s="811"/>
      <c r="V73" s="811"/>
      <c r="W73" s="811"/>
      <c r="X73" s="811"/>
      <c r="Y73" s="811"/>
      <c r="Z73" s="811"/>
      <c r="AA73" s="811"/>
      <c r="AB73" s="811"/>
      <c r="AC73" s="811"/>
      <c r="AD73" s="811"/>
      <c r="AE73" s="811"/>
      <c r="AF73" s="811"/>
      <c r="AG73" s="811"/>
      <c r="AH73" s="811"/>
      <c r="AI73" s="811"/>
      <c r="AJ73" s="811"/>
      <c r="AK73" s="811"/>
      <c r="AL73" s="811"/>
      <c r="AM73" s="811"/>
      <c r="AN73" s="961">
        <v>0</v>
      </c>
      <c r="AO73" s="961">
        <v>0</v>
      </c>
      <c r="AP73" s="961">
        <v>0</v>
      </c>
      <c r="AQ73" s="961">
        <v>0</v>
      </c>
      <c r="AR73" s="961">
        <v>0</v>
      </c>
      <c r="AS73" s="961">
        <v>0</v>
      </c>
      <c r="AT73" s="961">
        <v>0</v>
      </c>
      <c r="AU73" s="961">
        <v>0</v>
      </c>
      <c r="AV73" s="961">
        <v>0</v>
      </c>
      <c r="AW73" s="961">
        <v>0</v>
      </c>
      <c r="AX73" s="796"/>
      <c r="AY73" s="796"/>
      <c r="AZ73" s="796"/>
      <c r="BA73" s="927"/>
    </row>
    <row r="74" spans="1:53" ht="11.4">
      <c r="A74" s="809">
        <v>1</v>
      </c>
      <c r="B74" s="927"/>
      <c r="C74" s="927"/>
      <c r="D74" s="927" t="s">
        <v>1572</v>
      </c>
      <c r="E74" s="927"/>
      <c r="F74" s="927"/>
      <c r="G74" s="927"/>
      <c r="H74" s="927"/>
      <c r="I74" s="927"/>
      <c r="J74" s="927"/>
      <c r="K74" s="927"/>
      <c r="L74" s="953" t="s">
        <v>595</v>
      </c>
      <c r="M74" s="960" t="s">
        <v>596</v>
      </c>
      <c r="N74" s="955" t="s">
        <v>352</v>
      </c>
      <c r="O74" s="811"/>
      <c r="P74" s="811"/>
      <c r="Q74" s="811"/>
      <c r="R74" s="961">
        <v>0</v>
      </c>
      <c r="S74" s="811"/>
      <c r="T74" s="811"/>
      <c r="U74" s="811"/>
      <c r="V74" s="811"/>
      <c r="W74" s="811"/>
      <c r="X74" s="811"/>
      <c r="Y74" s="811"/>
      <c r="Z74" s="811"/>
      <c r="AA74" s="811"/>
      <c r="AB74" s="811"/>
      <c r="AC74" s="811"/>
      <c r="AD74" s="811"/>
      <c r="AE74" s="811"/>
      <c r="AF74" s="811"/>
      <c r="AG74" s="811"/>
      <c r="AH74" s="811"/>
      <c r="AI74" s="811"/>
      <c r="AJ74" s="811"/>
      <c r="AK74" s="811"/>
      <c r="AL74" s="811"/>
      <c r="AM74" s="811"/>
      <c r="AN74" s="961">
        <v>0</v>
      </c>
      <c r="AO74" s="961">
        <v>0</v>
      </c>
      <c r="AP74" s="961">
        <v>0</v>
      </c>
      <c r="AQ74" s="961">
        <v>0</v>
      </c>
      <c r="AR74" s="961">
        <v>0</v>
      </c>
      <c r="AS74" s="961">
        <v>0</v>
      </c>
      <c r="AT74" s="961">
        <v>0</v>
      </c>
      <c r="AU74" s="961">
        <v>0</v>
      </c>
      <c r="AV74" s="961">
        <v>0</v>
      </c>
      <c r="AW74" s="961">
        <v>0</v>
      </c>
      <c r="AX74" s="796"/>
      <c r="AY74" s="796"/>
      <c r="AZ74" s="796"/>
      <c r="BA74" s="927"/>
    </row>
    <row r="75" spans="1:53" ht="11.4">
      <c r="A75" s="809">
        <v>1</v>
      </c>
      <c r="B75" s="927" t="s">
        <v>406</v>
      </c>
      <c r="C75" s="927"/>
      <c r="D75" s="927" t="s">
        <v>1573</v>
      </c>
      <c r="E75" s="927"/>
      <c r="F75" s="927"/>
      <c r="G75" s="927"/>
      <c r="H75" s="927"/>
      <c r="I75" s="927"/>
      <c r="J75" s="927"/>
      <c r="K75" s="927"/>
      <c r="L75" s="953" t="s">
        <v>597</v>
      </c>
      <c r="M75" s="960" t="s">
        <v>598</v>
      </c>
      <c r="N75" s="955" t="s">
        <v>352</v>
      </c>
      <c r="O75" s="388">
        <v>0</v>
      </c>
      <c r="P75" s="388">
        <v>0</v>
      </c>
      <c r="Q75" s="388">
        <v>0</v>
      </c>
      <c r="R75" s="961">
        <v>0</v>
      </c>
      <c r="S75" s="388">
        <v>0</v>
      </c>
      <c r="T75" s="388">
        <v>0</v>
      </c>
      <c r="U75" s="388">
        <v>0</v>
      </c>
      <c r="V75" s="388">
        <v>0</v>
      </c>
      <c r="W75" s="388">
        <v>0</v>
      </c>
      <c r="X75" s="388">
        <v>0</v>
      </c>
      <c r="Y75" s="388">
        <v>0</v>
      </c>
      <c r="Z75" s="388">
        <v>0</v>
      </c>
      <c r="AA75" s="388">
        <v>0</v>
      </c>
      <c r="AB75" s="388">
        <v>0</v>
      </c>
      <c r="AC75" s="388">
        <v>0</v>
      </c>
      <c r="AD75" s="388">
        <v>0</v>
      </c>
      <c r="AE75" s="388">
        <v>0</v>
      </c>
      <c r="AF75" s="388">
        <v>0</v>
      </c>
      <c r="AG75" s="388">
        <v>0</v>
      </c>
      <c r="AH75" s="388">
        <v>0</v>
      </c>
      <c r="AI75" s="388">
        <v>0</v>
      </c>
      <c r="AJ75" s="388">
        <v>0</v>
      </c>
      <c r="AK75" s="388">
        <v>0</v>
      </c>
      <c r="AL75" s="388">
        <v>0</v>
      </c>
      <c r="AM75" s="388">
        <v>0</v>
      </c>
      <c r="AN75" s="961">
        <v>0</v>
      </c>
      <c r="AO75" s="961">
        <v>0</v>
      </c>
      <c r="AP75" s="961">
        <v>0</v>
      </c>
      <c r="AQ75" s="961">
        <v>0</v>
      </c>
      <c r="AR75" s="961">
        <v>0</v>
      </c>
      <c r="AS75" s="961">
        <v>0</v>
      </c>
      <c r="AT75" s="961">
        <v>0</v>
      </c>
      <c r="AU75" s="961">
        <v>0</v>
      </c>
      <c r="AV75" s="961">
        <v>0</v>
      </c>
      <c r="AW75" s="961">
        <v>0</v>
      </c>
      <c r="AX75" s="796"/>
      <c r="AY75" s="796"/>
      <c r="AZ75" s="796"/>
      <c r="BA75" s="927"/>
    </row>
    <row r="76" spans="1:53" ht="11.4">
      <c r="A76" s="809">
        <v>1</v>
      </c>
      <c r="B76" s="927" t="s">
        <v>407</v>
      </c>
      <c r="C76" s="927"/>
      <c r="D76" s="927" t="s">
        <v>1574</v>
      </c>
      <c r="E76" s="927"/>
      <c r="F76" s="927"/>
      <c r="G76" s="927"/>
      <c r="H76" s="927"/>
      <c r="I76" s="927"/>
      <c r="J76" s="927"/>
      <c r="K76" s="927"/>
      <c r="L76" s="953" t="s">
        <v>599</v>
      </c>
      <c r="M76" s="960" t="s">
        <v>600</v>
      </c>
      <c r="N76" s="955" t="s">
        <v>352</v>
      </c>
      <c r="O76" s="388">
        <v>0</v>
      </c>
      <c r="P76" s="388">
        <v>0</v>
      </c>
      <c r="Q76" s="388">
        <v>0</v>
      </c>
      <c r="R76" s="961">
        <v>0</v>
      </c>
      <c r="S76" s="388">
        <v>0</v>
      </c>
      <c r="T76" s="388">
        <v>0</v>
      </c>
      <c r="U76" s="388">
        <v>0</v>
      </c>
      <c r="V76" s="388">
        <v>0</v>
      </c>
      <c r="W76" s="388">
        <v>0</v>
      </c>
      <c r="X76" s="388">
        <v>0</v>
      </c>
      <c r="Y76" s="388">
        <v>0</v>
      </c>
      <c r="Z76" s="388">
        <v>0</v>
      </c>
      <c r="AA76" s="388">
        <v>0</v>
      </c>
      <c r="AB76" s="388">
        <v>0</v>
      </c>
      <c r="AC76" s="388">
        <v>0</v>
      </c>
      <c r="AD76" s="388">
        <v>0</v>
      </c>
      <c r="AE76" s="388">
        <v>0</v>
      </c>
      <c r="AF76" s="388">
        <v>0</v>
      </c>
      <c r="AG76" s="388">
        <v>0</v>
      </c>
      <c r="AH76" s="388">
        <v>0</v>
      </c>
      <c r="AI76" s="388">
        <v>0</v>
      </c>
      <c r="AJ76" s="388">
        <v>0</v>
      </c>
      <c r="AK76" s="388">
        <v>0</v>
      </c>
      <c r="AL76" s="388">
        <v>0</v>
      </c>
      <c r="AM76" s="388">
        <v>0</v>
      </c>
      <c r="AN76" s="961">
        <v>0</v>
      </c>
      <c r="AO76" s="961">
        <v>0</v>
      </c>
      <c r="AP76" s="961">
        <v>0</v>
      </c>
      <c r="AQ76" s="961">
        <v>0</v>
      </c>
      <c r="AR76" s="961">
        <v>0</v>
      </c>
      <c r="AS76" s="961">
        <v>0</v>
      </c>
      <c r="AT76" s="961">
        <v>0</v>
      </c>
      <c r="AU76" s="961">
        <v>0</v>
      </c>
      <c r="AV76" s="961">
        <v>0</v>
      </c>
      <c r="AW76" s="961">
        <v>0</v>
      </c>
      <c r="AX76" s="796"/>
      <c r="AY76" s="796"/>
      <c r="AZ76" s="796"/>
      <c r="BA76" s="927"/>
    </row>
    <row r="77" spans="1:53" ht="11.4">
      <c r="A77" s="809">
        <v>1</v>
      </c>
      <c r="B77" s="927" t="s">
        <v>1293</v>
      </c>
      <c r="C77" s="927"/>
      <c r="D77" s="927" t="s">
        <v>1575</v>
      </c>
      <c r="E77" s="927"/>
      <c r="F77" s="927"/>
      <c r="G77" s="927"/>
      <c r="H77" s="927"/>
      <c r="I77" s="927"/>
      <c r="J77" s="927"/>
      <c r="K77" s="927"/>
      <c r="L77" s="953" t="s">
        <v>1305</v>
      </c>
      <c r="M77" s="960" t="s">
        <v>1306</v>
      </c>
      <c r="N77" s="955" t="s">
        <v>352</v>
      </c>
      <c r="O77" s="388">
        <v>0</v>
      </c>
      <c r="P77" s="388">
        <v>0</v>
      </c>
      <c r="Q77" s="388">
        <v>0</v>
      </c>
      <c r="R77" s="961">
        <v>0</v>
      </c>
      <c r="S77" s="388">
        <v>0</v>
      </c>
      <c r="T77" s="388">
        <v>0</v>
      </c>
      <c r="U77" s="388">
        <v>0</v>
      </c>
      <c r="V77" s="388">
        <v>0</v>
      </c>
      <c r="W77" s="388">
        <v>0</v>
      </c>
      <c r="X77" s="388">
        <v>0</v>
      </c>
      <c r="Y77" s="388">
        <v>0</v>
      </c>
      <c r="Z77" s="388">
        <v>0</v>
      </c>
      <c r="AA77" s="388">
        <v>0</v>
      </c>
      <c r="AB77" s="388">
        <v>0</v>
      </c>
      <c r="AC77" s="388">
        <v>0</v>
      </c>
      <c r="AD77" s="388">
        <v>0</v>
      </c>
      <c r="AE77" s="388">
        <v>0</v>
      </c>
      <c r="AF77" s="388">
        <v>0</v>
      </c>
      <c r="AG77" s="388">
        <v>0</v>
      </c>
      <c r="AH77" s="388">
        <v>0</v>
      </c>
      <c r="AI77" s="388">
        <v>0</v>
      </c>
      <c r="AJ77" s="388">
        <v>0</v>
      </c>
      <c r="AK77" s="388">
        <v>0</v>
      </c>
      <c r="AL77" s="388">
        <v>0</v>
      </c>
      <c r="AM77" s="388">
        <v>0</v>
      </c>
      <c r="AN77" s="961">
        <v>0</v>
      </c>
      <c r="AO77" s="961">
        <v>0</v>
      </c>
      <c r="AP77" s="961">
        <v>0</v>
      </c>
      <c r="AQ77" s="961">
        <v>0</v>
      </c>
      <c r="AR77" s="961">
        <v>0</v>
      </c>
      <c r="AS77" s="961">
        <v>0</v>
      </c>
      <c r="AT77" s="961">
        <v>0</v>
      </c>
      <c r="AU77" s="961">
        <v>0</v>
      </c>
      <c r="AV77" s="961">
        <v>0</v>
      </c>
      <c r="AW77" s="961">
        <v>0</v>
      </c>
      <c r="AX77" s="796"/>
      <c r="AY77" s="796"/>
      <c r="AZ77" s="796"/>
      <c r="BA77" s="927"/>
    </row>
    <row r="78" spans="1:53" ht="11.4">
      <c r="A78" s="809">
        <v>1</v>
      </c>
      <c r="B78" s="927"/>
      <c r="C78" s="927"/>
      <c r="D78" s="927" t="s">
        <v>1576</v>
      </c>
      <c r="E78" s="927"/>
      <c r="F78" s="927"/>
      <c r="G78" s="927"/>
      <c r="H78" s="927"/>
      <c r="I78" s="927"/>
      <c r="J78" s="927"/>
      <c r="K78" s="927"/>
      <c r="L78" s="953" t="s">
        <v>138</v>
      </c>
      <c r="M78" s="954" t="s">
        <v>601</v>
      </c>
      <c r="N78" s="881" t="s">
        <v>352</v>
      </c>
      <c r="O78" s="388">
        <v>0</v>
      </c>
      <c r="P78" s="388">
        <v>0</v>
      </c>
      <c r="Q78" s="388">
        <v>0</v>
      </c>
      <c r="R78" s="961">
        <v>0</v>
      </c>
      <c r="S78" s="388">
        <v>0</v>
      </c>
      <c r="T78" s="388">
        <v>0</v>
      </c>
      <c r="U78" s="388">
        <v>0</v>
      </c>
      <c r="V78" s="388">
        <v>0</v>
      </c>
      <c r="W78" s="388">
        <v>0</v>
      </c>
      <c r="X78" s="388">
        <v>0</v>
      </c>
      <c r="Y78" s="388">
        <v>0</v>
      </c>
      <c r="Z78" s="388">
        <v>0</v>
      </c>
      <c r="AA78" s="388">
        <v>0</v>
      </c>
      <c r="AB78" s="388">
        <v>0</v>
      </c>
      <c r="AC78" s="388">
        <v>0</v>
      </c>
      <c r="AD78" s="388">
        <v>0</v>
      </c>
      <c r="AE78" s="388">
        <v>0</v>
      </c>
      <c r="AF78" s="388">
        <v>0</v>
      </c>
      <c r="AG78" s="388">
        <v>0</v>
      </c>
      <c r="AH78" s="388">
        <v>0</v>
      </c>
      <c r="AI78" s="388">
        <v>0</v>
      </c>
      <c r="AJ78" s="388">
        <v>0</v>
      </c>
      <c r="AK78" s="388">
        <v>0</v>
      </c>
      <c r="AL78" s="388">
        <v>0</v>
      </c>
      <c r="AM78" s="388">
        <v>0</v>
      </c>
      <c r="AN78" s="961">
        <v>0</v>
      </c>
      <c r="AO78" s="961">
        <v>0</v>
      </c>
      <c r="AP78" s="961">
        <v>0</v>
      </c>
      <c r="AQ78" s="961">
        <v>0</v>
      </c>
      <c r="AR78" s="961">
        <v>0</v>
      </c>
      <c r="AS78" s="961">
        <v>0</v>
      </c>
      <c r="AT78" s="961">
        <v>0</v>
      </c>
      <c r="AU78" s="961">
        <v>0</v>
      </c>
      <c r="AV78" s="961">
        <v>0</v>
      </c>
      <c r="AW78" s="961">
        <v>0</v>
      </c>
      <c r="AX78" s="796"/>
      <c r="AY78" s="796"/>
      <c r="AZ78" s="796"/>
      <c r="BA78" s="927"/>
    </row>
    <row r="79" spans="1:53" s="109" customFormat="1" ht="11.4">
      <c r="A79" s="809">
        <v>1</v>
      </c>
      <c r="B79" s="968"/>
      <c r="C79" s="927"/>
      <c r="D79" s="927" t="s">
        <v>1577</v>
      </c>
      <c r="E79" s="968"/>
      <c r="F79" s="968"/>
      <c r="G79" s="968"/>
      <c r="H79" s="968"/>
      <c r="I79" s="968"/>
      <c r="J79" s="968"/>
      <c r="K79" s="968"/>
      <c r="L79" s="969" t="s">
        <v>151</v>
      </c>
      <c r="M79" s="970" t="s">
        <v>602</v>
      </c>
      <c r="N79" s="971" t="s">
        <v>352</v>
      </c>
      <c r="O79" s="950">
        <v>36.340000000000003</v>
      </c>
      <c r="P79" s="950">
        <v>19.52</v>
      </c>
      <c r="Q79" s="950">
        <v>0</v>
      </c>
      <c r="R79" s="950">
        <v>-19.52</v>
      </c>
      <c r="S79" s="950">
        <v>34.9</v>
      </c>
      <c r="T79" s="950">
        <v>19.52</v>
      </c>
      <c r="U79" s="950">
        <v>0</v>
      </c>
      <c r="V79" s="950">
        <v>0</v>
      </c>
      <c r="W79" s="950">
        <v>0</v>
      </c>
      <c r="X79" s="950">
        <v>0</v>
      </c>
      <c r="Y79" s="950">
        <v>0</v>
      </c>
      <c r="Z79" s="950">
        <v>0</v>
      </c>
      <c r="AA79" s="950">
        <v>0</v>
      </c>
      <c r="AB79" s="950">
        <v>0</v>
      </c>
      <c r="AC79" s="950">
        <v>0</v>
      </c>
      <c r="AD79" s="950">
        <v>0</v>
      </c>
      <c r="AE79" s="950">
        <v>0</v>
      </c>
      <c r="AF79" s="950">
        <v>0</v>
      </c>
      <c r="AG79" s="950">
        <v>0</v>
      </c>
      <c r="AH79" s="950">
        <v>0</v>
      </c>
      <c r="AI79" s="950">
        <v>0</v>
      </c>
      <c r="AJ79" s="950">
        <v>0</v>
      </c>
      <c r="AK79" s="950">
        <v>0</v>
      </c>
      <c r="AL79" s="950">
        <v>0</v>
      </c>
      <c r="AM79" s="950">
        <v>0</v>
      </c>
      <c r="AN79" s="950">
        <v>-100</v>
      </c>
      <c r="AO79" s="950">
        <v>0</v>
      </c>
      <c r="AP79" s="950">
        <v>0</v>
      </c>
      <c r="AQ79" s="950">
        <v>0</v>
      </c>
      <c r="AR79" s="950">
        <v>0</v>
      </c>
      <c r="AS79" s="950">
        <v>0</v>
      </c>
      <c r="AT79" s="950">
        <v>0</v>
      </c>
      <c r="AU79" s="950">
        <v>0</v>
      </c>
      <c r="AV79" s="950">
        <v>0</v>
      </c>
      <c r="AW79" s="950">
        <v>0</v>
      </c>
      <c r="AX79" s="959"/>
      <c r="AY79" s="959"/>
      <c r="AZ79" s="959"/>
      <c r="BA79" s="968"/>
    </row>
    <row r="80" spans="1:53" ht="11.4">
      <c r="A80" s="809">
        <v>1</v>
      </c>
      <c r="B80" s="927" t="s">
        <v>132</v>
      </c>
      <c r="C80" s="927"/>
      <c r="D80" s="927" t="s">
        <v>1578</v>
      </c>
      <c r="E80" s="927"/>
      <c r="F80" s="927"/>
      <c r="G80" s="927"/>
      <c r="H80" s="927"/>
      <c r="I80" s="927"/>
      <c r="J80" s="927"/>
      <c r="K80" s="927"/>
      <c r="L80" s="953" t="s">
        <v>152</v>
      </c>
      <c r="M80" s="960" t="s">
        <v>603</v>
      </c>
      <c r="N80" s="955" t="s">
        <v>352</v>
      </c>
      <c r="O80" s="388">
        <v>0</v>
      </c>
      <c r="P80" s="388">
        <v>0</v>
      </c>
      <c r="Q80" s="388">
        <v>0</v>
      </c>
      <c r="R80" s="961">
        <v>0</v>
      </c>
      <c r="S80" s="388">
        <v>0</v>
      </c>
      <c r="T80" s="388">
        <v>0</v>
      </c>
      <c r="U80" s="388">
        <v>0</v>
      </c>
      <c r="V80" s="388">
        <v>0</v>
      </c>
      <c r="W80" s="388">
        <v>0</v>
      </c>
      <c r="X80" s="388">
        <v>0</v>
      </c>
      <c r="Y80" s="388">
        <v>0</v>
      </c>
      <c r="Z80" s="388">
        <v>0</v>
      </c>
      <c r="AA80" s="388">
        <v>0</v>
      </c>
      <c r="AB80" s="388">
        <v>0</v>
      </c>
      <c r="AC80" s="388">
        <v>0</v>
      </c>
      <c r="AD80" s="388">
        <v>0</v>
      </c>
      <c r="AE80" s="388">
        <v>0</v>
      </c>
      <c r="AF80" s="388">
        <v>0</v>
      </c>
      <c r="AG80" s="388">
        <v>0</v>
      </c>
      <c r="AH80" s="388">
        <v>0</v>
      </c>
      <c r="AI80" s="388">
        <v>0</v>
      </c>
      <c r="AJ80" s="388">
        <v>0</v>
      </c>
      <c r="AK80" s="388">
        <v>0</v>
      </c>
      <c r="AL80" s="388">
        <v>0</v>
      </c>
      <c r="AM80" s="388">
        <v>0</v>
      </c>
      <c r="AN80" s="961">
        <v>0</v>
      </c>
      <c r="AO80" s="961">
        <v>0</v>
      </c>
      <c r="AP80" s="961">
        <v>0</v>
      </c>
      <c r="AQ80" s="961">
        <v>0</v>
      </c>
      <c r="AR80" s="961">
        <v>0</v>
      </c>
      <c r="AS80" s="961">
        <v>0</v>
      </c>
      <c r="AT80" s="961">
        <v>0</v>
      </c>
      <c r="AU80" s="961">
        <v>0</v>
      </c>
      <c r="AV80" s="961">
        <v>0</v>
      </c>
      <c r="AW80" s="961">
        <v>0</v>
      </c>
      <c r="AX80" s="796"/>
      <c r="AY80" s="796"/>
      <c r="AZ80" s="796"/>
      <c r="BA80" s="927"/>
    </row>
    <row r="81" spans="1:53" ht="11.4">
      <c r="A81" s="809">
        <v>1</v>
      </c>
      <c r="B81" s="927" t="s">
        <v>133</v>
      </c>
      <c r="C81" s="927"/>
      <c r="D81" s="927" t="s">
        <v>1579</v>
      </c>
      <c r="E81" s="927"/>
      <c r="F81" s="927"/>
      <c r="G81" s="927"/>
      <c r="H81" s="927"/>
      <c r="I81" s="927"/>
      <c r="J81" s="927"/>
      <c r="K81" s="927"/>
      <c r="L81" s="953" t="s">
        <v>604</v>
      </c>
      <c r="M81" s="960" t="s">
        <v>605</v>
      </c>
      <c r="N81" s="955" t="s">
        <v>352</v>
      </c>
      <c r="O81" s="388">
        <v>36.340000000000003</v>
      </c>
      <c r="P81" s="388">
        <v>19.52</v>
      </c>
      <c r="Q81" s="388">
        <v>0</v>
      </c>
      <c r="R81" s="961">
        <v>-19.52</v>
      </c>
      <c r="S81" s="388">
        <v>34.9</v>
      </c>
      <c r="T81" s="388">
        <v>19.52</v>
      </c>
      <c r="U81" s="388">
        <v>0</v>
      </c>
      <c r="V81" s="388">
        <v>0</v>
      </c>
      <c r="W81" s="388">
        <v>0</v>
      </c>
      <c r="X81" s="388">
        <v>0</v>
      </c>
      <c r="Y81" s="388">
        <v>0</v>
      </c>
      <c r="Z81" s="388">
        <v>0</v>
      </c>
      <c r="AA81" s="388">
        <v>0</v>
      </c>
      <c r="AB81" s="388">
        <v>0</v>
      </c>
      <c r="AC81" s="388">
        <v>0</v>
      </c>
      <c r="AD81" s="388">
        <v>0</v>
      </c>
      <c r="AE81" s="388">
        <v>0</v>
      </c>
      <c r="AF81" s="388">
        <v>0</v>
      </c>
      <c r="AG81" s="388">
        <v>0</v>
      </c>
      <c r="AH81" s="388">
        <v>0</v>
      </c>
      <c r="AI81" s="388">
        <v>0</v>
      </c>
      <c r="AJ81" s="388">
        <v>0</v>
      </c>
      <c r="AK81" s="388">
        <v>0</v>
      </c>
      <c r="AL81" s="388">
        <v>0</v>
      </c>
      <c r="AM81" s="388">
        <v>0</v>
      </c>
      <c r="AN81" s="961">
        <v>-100</v>
      </c>
      <c r="AO81" s="961">
        <v>0</v>
      </c>
      <c r="AP81" s="961">
        <v>0</v>
      </c>
      <c r="AQ81" s="961">
        <v>0</v>
      </c>
      <c r="AR81" s="961">
        <v>0</v>
      </c>
      <c r="AS81" s="961">
        <v>0</v>
      </c>
      <c r="AT81" s="961">
        <v>0</v>
      </c>
      <c r="AU81" s="961">
        <v>0</v>
      </c>
      <c r="AV81" s="961">
        <v>0</v>
      </c>
      <c r="AW81" s="961">
        <v>0</v>
      </c>
      <c r="AX81" s="796"/>
      <c r="AY81" s="796"/>
      <c r="AZ81" s="796"/>
      <c r="BA81" s="927"/>
    </row>
    <row r="82" spans="1:53" ht="11.4">
      <c r="A82" s="809">
        <v>1</v>
      </c>
      <c r="B82" s="927" t="s">
        <v>413</v>
      </c>
      <c r="C82" s="927"/>
      <c r="D82" s="927" t="s">
        <v>1580</v>
      </c>
      <c r="E82" s="927"/>
      <c r="F82" s="927"/>
      <c r="G82" s="927"/>
      <c r="H82" s="927"/>
      <c r="I82" s="927"/>
      <c r="J82" s="927"/>
      <c r="K82" s="927"/>
      <c r="L82" s="953" t="s">
        <v>606</v>
      </c>
      <c r="M82" s="960" t="s">
        <v>607</v>
      </c>
      <c r="N82" s="955" t="s">
        <v>352</v>
      </c>
      <c r="O82" s="388">
        <v>0</v>
      </c>
      <c r="P82" s="388">
        <v>0</v>
      </c>
      <c r="Q82" s="388">
        <v>0</v>
      </c>
      <c r="R82" s="961">
        <v>0</v>
      </c>
      <c r="S82" s="388">
        <v>0</v>
      </c>
      <c r="T82" s="388">
        <v>0</v>
      </c>
      <c r="U82" s="388">
        <v>0</v>
      </c>
      <c r="V82" s="388">
        <v>0</v>
      </c>
      <c r="W82" s="388">
        <v>0</v>
      </c>
      <c r="X82" s="388">
        <v>0</v>
      </c>
      <c r="Y82" s="388">
        <v>0</v>
      </c>
      <c r="Z82" s="388">
        <v>0</v>
      </c>
      <c r="AA82" s="388">
        <v>0</v>
      </c>
      <c r="AB82" s="388">
        <v>0</v>
      </c>
      <c r="AC82" s="388">
        <v>0</v>
      </c>
      <c r="AD82" s="388">
        <v>0</v>
      </c>
      <c r="AE82" s="388">
        <v>0</v>
      </c>
      <c r="AF82" s="388">
        <v>0</v>
      </c>
      <c r="AG82" s="388">
        <v>0</v>
      </c>
      <c r="AH82" s="388">
        <v>0</v>
      </c>
      <c r="AI82" s="388">
        <v>0</v>
      </c>
      <c r="AJ82" s="388">
        <v>0</v>
      </c>
      <c r="AK82" s="388">
        <v>0</v>
      </c>
      <c r="AL82" s="388">
        <v>0</v>
      </c>
      <c r="AM82" s="388">
        <v>0</v>
      </c>
      <c r="AN82" s="961">
        <v>0</v>
      </c>
      <c r="AO82" s="961">
        <v>0</v>
      </c>
      <c r="AP82" s="961">
        <v>0</v>
      </c>
      <c r="AQ82" s="961">
        <v>0</v>
      </c>
      <c r="AR82" s="961">
        <v>0</v>
      </c>
      <c r="AS82" s="961">
        <v>0</v>
      </c>
      <c r="AT82" s="961">
        <v>0</v>
      </c>
      <c r="AU82" s="961">
        <v>0</v>
      </c>
      <c r="AV82" s="961">
        <v>0</v>
      </c>
      <c r="AW82" s="961">
        <v>0</v>
      </c>
      <c r="AX82" s="796"/>
      <c r="AY82" s="796"/>
      <c r="AZ82" s="796"/>
      <c r="BA82" s="927"/>
    </row>
    <row r="83" spans="1:53" ht="11.4">
      <c r="A83" s="809">
        <v>1</v>
      </c>
      <c r="B83" s="927" t="s">
        <v>414</v>
      </c>
      <c r="C83" s="927"/>
      <c r="D83" s="927" t="s">
        <v>1581</v>
      </c>
      <c r="E83" s="927"/>
      <c r="F83" s="927"/>
      <c r="G83" s="927"/>
      <c r="H83" s="927"/>
      <c r="I83" s="927"/>
      <c r="J83" s="927"/>
      <c r="K83" s="927"/>
      <c r="L83" s="953" t="s">
        <v>608</v>
      </c>
      <c r="M83" s="960" t="s">
        <v>609</v>
      </c>
      <c r="N83" s="955" t="s">
        <v>352</v>
      </c>
      <c r="O83" s="388">
        <v>0</v>
      </c>
      <c r="P83" s="388">
        <v>0</v>
      </c>
      <c r="Q83" s="388">
        <v>0</v>
      </c>
      <c r="R83" s="961">
        <v>0</v>
      </c>
      <c r="S83" s="388">
        <v>0</v>
      </c>
      <c r="T83" s="388">
        <v>0</v>
      </c>
      <c r="U83" s="388">
        <v>0</v>
      </c>
      <c r="V83" s="388">
        <v>0</v>
      </c>
      <c r="W83" s="388">
        <v>0</v>
      </c>
      <c r="X83" s="388">
        <v>0</v>
      </c>
      <c r="Y83" s="388">
        <v>0</v>
      </c>
      <c r="Z83" s="388">
        <v>0</v>
      </c>
      <c r="AA83" s="388">
        <v>0</v>
      </c>
      <c r="AB83" s="388">
        <v>0</v>
      </c>
      <c r="AC83" s="388">
        <v>0</v>
      </c>
      <c r="AD83" s="388">
        <v>0</v>
      </c>
      <c r="AE83" s="388">
        <v>0</v>
      </c>
      <c r="AF83" s="388">
        <v>0</v>
      </c>
      <c r="AG83" s="388">
        <v>0</v>
      </c>
      <c r="AH83" s="388">
        <v>0</v>
      </c>
      <c r="AI83" s="388">
        <v>0</v>
      </c>
      <c r="AJ83" s="388">
        <v>0</v>
      </c>
      <c r="AK83" s="388">
        <v>0</v>
      </c>
      <c r="AL83" s="388">
        <v>0</v>
      </c>
      <c r="AM83" s="388">
        <v>0</v>
      </c>
      <c r="AN83" s="961">
        <v>0</v>
      </c>
      <c r="AO83" s="961">
        <v>0</v>
      </c>
      <c r="AP83" s="961">
        <v>0</v>
      </c>
      <c r="AQ83" s="961">
        <v>0</v>
      </c>
      <c r="AR83" s="961">
        <v>0</v>
      </c>
      <c r="AS83" s="961">
        <v>0</v>
      </c>
      <c r="AT83" s="961">
        <v>0</v>
      </c>
      <c r="AU83" s="961">
        <v>0</v>
      </c>
      <c r="AV83" s="961">
        <v>0</v>
      </c>
      <c r="AW83" s="961">
        <v>0</v>
      </c>
      <c r="AX83" s="796"/>
      <c r="AY83" s="796"/>
      <c r="AZ83" s="796"/>
      <c r="BA83" s="927"/>
    </row>
    <row r="84" spans="1:53" ht="11.4">
      <c r="A84" s="809">
        <v>1</v>
      </c>
      <c r="B84" s="927" t="s">
        <v>415</v>
      </c>
      <c r="C84" s="927"/>
      <c r="D84" s="927" t="s">
        <v>1582</v>
      </c>
      <c r="E84" s="927"/>
      <c r="F84" s="927"/>
      <c r="G84" s="927"/>
      <c r="H84" s="927"/>
      <c r="I84" s="927"/>
      <c r="J84" s="927"/>
      <c r="K84" s="927"/>
      <c r="L84" s="953" t="s">
        <v>610</v>
      </c>
      <c r="M84" s="960" t="s">
        <v>611</v>
      </c>
      <c r="N84" s="955" t="s">
        <v>352</v>
      </c>
      <c r="O84" s="388">
        <v>0</v>
      </c>
      <c r="P84" s="388">
        <v>0</v>
      </c>
      <c r="Q84" s="388">
        <v>0</v>
      </c>
      <c r="R84" s="961">
        <v>0</v>
      </c>
      <c r="S84" s="388">
        <v>0</v>
      </c>
      <c r="T84" s="388">
        <v>0</v>
      </c>
      <c r="U84" s="388">
        <v>0</v>
      </c>
      <c r="V84" s="388">
        <v>0</v>
      </c>
      <c r="W84" s="388">
        <v>0</v>
      </c>
      <c r="X84" s="388">
        <v>0</v>
      </c>
      <c r="Y84" s="388">
        <v>0</v>
      </c>
      <c r="Z84" s="388">
        <v>0</v>
      </c>
      <c r="AA84" s="388">
        <v>0</v>
      </c>
      <c r="AB84" s="388">
        <v>0</v>
      </c>
      <c r="AC84" s="388">
        <v>0</v>
      </c>
      <c r="AD84" s="388">
        <v>0</v>
      </c>
      <c r="AE84" s="388">
        <v>0</v>
      </c>
      <c r="AF84" s="388">
        <v>0</v>
      </c>
      <c r="AG84" s="388">
        <v>0</v>
      </c>
      <c r="AH84" s="388">
        <v>0</v>
      </c>
      <c r="AI84" s="388">
        <v>0</v>
      </c>
      <c r="AJ84" s="388">
        <v>0</v>
      </c>
      <c r="AK84" s="388">
        <v>0</v>
      </c>
      <c r="AL84" s="388">
        <v>0</v>
      </c>
      <c r="AM84" s="388">
        <v>0</v>
      </c>
      <c r="AN84" s="961">
        <v>0</v>
      </c>
      <c r="AO84" s="961">
        <v>0</v>
      </c>
      <c r="AP84" s="961">
        <v>0</v>
      </c>
      <c r="AQ84" s="961">
        <v>0</v>
      </c>
      <c r="AR84" s="961">
        <v>0</v>
      </c>
      <c r="AS84" s="961">
        <v>0</v>
      </c>
      <c r="AT84" s="961">
        <v>0</v>
      </c>
      <c r="AU84" s="961">
        <v>0</v>
      </c>
      <c r="AV84" s="961">
        <v>0</v>
      </c>
      <c r="AW84" s="961">
        <v>0</v>
      </c>
      <c r="AX84" s="796"/>
      <c r="AY84" s="796"/>
      <c r="AZ84" s="796"/>
      <c r="BA84" s="927"/>
    </row>
    <row r="85" spans="1:53" ht="11.4">
      <c r="A85" s="809">
        <v>1</v>
      </c>
      <c r="B85" s="927" t="s">
        <v>412</v>
      </c>
      <c r="C85" s="927"/>
      <c r="D85" s="927" t="s">
        <v>1583</v>
      </c>
      <c r="E85" s="927"/>
      <c r="F85" s="927"/>
      <c r="G85" s="927"/>
      <c r="H85" s="927"/>
      <c r="I85" s="927"/>
      <c r="J85" s="927"/>
      <c r="K85" s="927"/>
      <c r="L85" s="953" t="s">
        <v>612</v>
      </c>
      <c r="M85" s="960" t="s">
        <v>613</v>
      </c>
      <c r="N85" s="955" t="s">
        <v>352</v>
      </c>
      <c r="O85" s="388">
        <v>0</v>
      </c>
      <c r="P85" s="388">
        <v>0</v>
      </c>
      <c r="Q85" s="388">
        <v>0</v>
      </c>
      <c r="R85" s="961">
        <v>0</v>
      </c>
      <c r="S85" s="388">
        <v>0</v>
      </c>
      <c r="T85" s="388">
        <v>0</v>
      </c>
      <c r="U85" s="388">
        <v>0</v>
      </c>
      <c r="V85" s="388">
        <v>0</v>
      </c>
      <c r="W85" s="388">
        <v>0</v>
      </c>
      <c r="X85" s="388">
        <v>0</v>
      </c>
      <c r="Y85" s="388">
        <v>0</v>
      </c>
      <c r="Z85" s="388">
        <v>0</v>
      </c>
      <c r="AA85" s="388">
        <v>0</v>
      </c>
      <c r="AB85" s="388">
        <v>0</v>
      </c>
      <c r="AC85" s="388">
        <v>0</v>
      </c>
      <c r="AD85" s="388">
        <v>0</v>
      </c>
      <c r="AE85" s="388">
        <v>0</v>
      </c>
      <c r="AF85" s="388">
        <v>0</v>
      </c>
      <c r="AG85" s="388">
        <v>0</v>
      </c>
      <c r="AH85" s="388">
        <v>0</v>
      </c>
      <c r="AI85" s="388">
        <v>0</v>
      </c>
      <c r="AJ85" s="388">
        <v>0</v>
      </c>
      <c r="AK85" s="388">
        <v>0</v>
      </c>
      <c r="AL85" s="388">
        <v>0</v>
      </c>
      <c r="AM85" s="388">
        <v>0</v>
      </c>
      <c r="AN85" s="961">
        <v>0</v>
      </c>
      <c r="AO85" s="961">
        <v>0</v>
      </c>
      <c r="AP85" s="961">
        <v>0</v>
      </c>
      <c r="AQ85" s="961">
        <v>0</v>
      </c>
      <c r="AR85" s="961">
        <v>0</v>
      </c>
      <c r="AS85" s="961">
        <v>0</v>
      </c>
      <c r="AT85" s="961">
        <v>0</v>
      </c>
      <c r="AU85" s="961">
        <v>0</v>
      </c>
      <c r="AV85" s="961">
        <v>0</v>
      </c>
      <c r="AW85" s="961">
        <v>0</v>
      </c>
      <c r="AX85" s="796"/>
      <c r="AY85" s="796"/>
      <c r="AZ85" s="796"/>
      <c r="BA85" s="927"/>
    </row>
    <row r="86" spans="1:53" ht="11.4">
      <c r="A86" s="809">
        <v>1</v>
      </c>
      <c r="B86" s="927" t="s">
        <v>1337</v>
      </c>
      <c r="C86" s="927"/>
      <c r="D86" s="927" t="s">
        <v>1584</v>
      </c>
      <c r="E86" s="927"/>
      <c r="F86" s="927"/>
      <c r="G86" s="927"/>
      <c r="H86" s="927"/>
      <c r="I86" s="927"/>
      <c r="J86" s="927"/>
      <c r="K86" s="927"/>
      <c r="L86" s="953" t="s">
        <v>614</v>
      </c>
      <c r="M86" s="960" t="s">
        <v>615</v>
      </c>
      <c r="N86" s="955" t="s">
        <v>352</v>
      </c>
      <c r="O86" s="811">
        <v>0</v>
      </c>
      <c r="P86" s="811">
        <v>0</v>
      </c>
      <c r="Q86" s="811">
        <v>0</v>
      </c>
      <c r="R86" s="961">
        <v>0</v>
      </c>
      <c r="S86" s="811">
        <v>0</v>
      </c>
      <c r="T86" s="811">
        <v>0</v>
      </c>
      <c r="U86" s="811">
        <v>0</v>
      </c>
      <c r="V86" s="811">
        <v>0</v>
      </c>
      <c r="W86" s="811">
        <v>0</v>
      </c>
      <c r="X86" s="811">
        <v>0</v>
      </c>
      <c r="Y86" s="811">
        <v>0</v>
      </c>
      <c r="Z86" s="811">
        <v>0</v>
      </c>
      <c r="AA86" s="811">
        <v>0</v>
      </c>
      <c r="AB86" s="811">
        <v>0</v>
      </c>
      <c r="AC86" s="811">
        <v>0</v>
      </c>
      <c r="AD86" s="811">
        <v>0</v>
      </c>
      <c r="AE86" s="811">
        <v>0</v>
      </c>
      <c r="AF86" s="811">
        <v>0</v>
      </c>
      <c r="AG86" s="811">
        <v>0</v>
      </c>
      <c r="AH86" s="811">
        <v>0</v>
      </c>
      <c r="AI86" s="811">
        <v>0</v>
      </c>
      <c r="AJ86" s="811">
        <v>0</v>
      </c>
      <c r="AK86" s="811">
        <v>0</v>
      </c>
      <c r="AL86" s="811">
        <v>0</v>
      </c>
      <c r="AM86" s="811">
        <v>0</v>
      </c>
      <c r="AN86" s="961">
        <v>0</v>
      </c>
      <c r="AO86" s="961">
        <v>0</v>
      </c>
      <c r="AP86" s="961">
        <v>0</v>
      </c>
      <c r="AQ86" s="961">
        <v>0</v>
      </c>
      <c r="AR86" s="961">
        <v>0</v>
      </c>
      <c r="AS86" s="961">
        <v>0</v>
      </c>
      <c r="AT86" s="961">
        <v>0</v>
      </c>
      <c r="AU86" s="961">
        <v>0</v>
      </c>
      <c r="AV86" s="961">
        <v>0</v>
      </c>
      <c r="AW86" s="961">
        <v>0</v>
      </c>
      <c r="AX86" s="796"/>
      <c r="AY86" s="796"/>
      <c r="AZ86" s="796"/>
      <c r="BA86" s="927"/>
    </row>
    <row r="87" spans="1:53" ht="11.4">
      <c r="A87" s="809">
        <v>1</v>
      </c>
      <c r="B87" s="927" t="s">
        <v>1338</v>
      </c>
      <c r="C87" s="927"/>
      <c r="D87" s="927" t="s">
        <v>1585</v>
      </c>
      <c r="E87" s="927"/>
      <c r="F87" s="927"/>
      <c r="G87" s="927"/>
      <c r="H87" s="927"/>
      <c r="I87" s="927"/>
      <c r="J87" s="927"/>
      <c r="K87" s="927"/>
      <c r="L87" s="953" t="s">
        <v>616</v>
      </c>
      <c r="M87" s="960" t="s">
        <v>617</v>
      </c>
      <c r="N87" s="955" t="s">
        <v>352</v>
      </c>
      <c r="O87" s="388">
        <v>0</v>
      </c>
      <c r="P87" s="388">
        <v>0</v>
      </c>
      <c r="Q87" s="388">
        <v>0</v>
      </c>
      <c r="R87" s="961">
        <v>0</v>
      </c>
      <c r="S87" s="388">
        <v>0</v>
      </c>
      <c r="T87" s="388">
        <v>0</v>
      </c>
      <c r="U87" s="388">
        <v>0</v>
      </c>
      <c r="V87" s="388">
        <v>0</v>
      </c>
      <c r="W87" s="388">
        <v>0</v>
      </c>
      <c r="X87" s="388">
        <v>0</v>
      </c>
      <c r="Y87" s="388">
        <v>0</v>
      </c>
      <c r="Z87" s="388">
        <v>0</v>
      </c>
      <c r="AA87" s="388">
        <v>0</v>
      </c>
      <c r="AB87" s="388">
        <v>0</v>
      </c>
      <c r="AC87" s="388">
        <v>0</v>
      </c>
      <c r="AD87" s="388">
        <v>0</v>
      </c>
      <c r="AE87" s="388">
        <v>0</v>
      </c>
      <c r="AF87" s="388">
        <v>0</v>
      </c>
      <c r="AG87" s="388">
        <v>0</v>
      </c>
      <c r="AH87" s="388">
        <v>0</v>
      </c>
      <c r="AI87" s="388">
        <v>0</v>
      </c>
      <c r="AJ87" s="388">
        <v>0</v>
      </c>
      <c r="AK87" s="388">
        <v>0</v>
      </c>
      <c r="AL87" s="388">
        <v>0</v>
      </c>
      <c r="AM87" s="388">
        <v>0</v>
      </c>
      <c r="AN87" s="961">
        <v>0</v>
      </c>
      <c r="AO87" s="961">
        <v>0</v>
      </c>
      <c r="AP87" s="961">
        <v>0</v>
      </c>
      <c r="AQ87" s="961">
        <v>0</v>
      </c>
      <c r="AR87" s="961">
        <v>0</v>
      </c>
      <c r="AS87" s="961">
        <v>0</v>
      </c>
      <c r="AT87" s="961">
        <v>0</v>
      </c>
      <c r="AU87" s="961">
        <v>0</v>
      </c>
      <c r="AV87" s="961">
        <v>0</v>
      </c>
      <c r="AW87" s="961">
        <v>0</v>
      </c>
      <c r="AX87" s="796"/>
      <c r="AY87" s="796"/>
      <c r="AZ87" s="796"/>
      <c r="BA87" s="927"/>
    </row>
    <row r="88" spans="1:53" ht="11.4">
      <c r="A88" s="809">
        <v>1</v>
      </c>
      <c r="B88" s="927" t="s">
        <v>416</v>
      </c>
      <c r="C88" s="927"/>
      <c r="D88" s="927" t="s">
        <v>1586</v>
      </c>
      <c r="E88" s="927"/>
      <c r="F88" s="927"/>
      <c r="G88" s="927"/>
      <c r="H88" s="927"/>
      <c r="I88" s="927"/>
      <c r="J88" s="927"/>
      <c r="K88" s="927"/>
      <c r="L88" s="953" t="s">
        <v>618</v>
      </c>
      <c r="M88" s="960" t="s">
        <v>1133</v>
      </c>
      <c r="N88" s="955" t="s">
        <v>352</v>
      </c>
      <c r="O88" s="388">
        <v>0</v>
      </c>
      <c r="P88" s="388">
        <v>0</v>
      </c>
      <c r="Q88" s="388">
        <v>0</v>
      </c>
      <c r="R88" s="961">
        <v>0</v>
      </c>
      <c r="S88" s="388">
        <v>0</v>
      </c>
      <c r="T88" s="388">
        <v>0</v>
      </c>
      <c r="U88" s="388">
        <v>0</v>
      </c>
      <c r="V88" s="388">
        <v>0</v>
      </c>
      <c r="W88" s="388">
        <v>0</v>
      </c>
      <c r="X88" s="388">
        <v>0</v>
      </c>
      <c r="Y88" s="388">
        <v>0</v>
      </c>
      <c r="Z88" s="388">
        <v>0</v>
      </c>
      <c r="AA88" s="388">
        <v>0</v>
      </c>
      <c r="AB88" s="388">
        <v>0</v>
      </c>
      <c r="AC88" s="388">
        <v>0</v>
      </c>
      <c r="AD88" s="388">
        <v>0</v>
      </c>
      <c r="AE88" s="388">
        <v>0</v>
      </c>
      <c r="AF88" s="388">
        <v>0</v>
      </c>
      <c r="AG88" s="388">
        <v>0</v>
      </c>
      <c r="AH88" s="388">
        <v>0</v>
      </c>
      <c r="AI88" s="388">
        <v>0</v>
      </c>
      <c r="AJ88" s="388">
        <v>0</v>
      </c>
      <c r="AK88" s="388">
        <v>0</v>
      </c>
      <c r="AL88" s="388">
        <v>0</v>
      </c>
      <c r="AM88" s="388">
        <v>0</v>
      </c>
      <c r="AN88" s="961">
        <v>0</v>
      </c>
      <c r="AO88" s="961">
        <v>0</v>
      </c>
      <c r="AP88" s="961">
        <v>0</v>
      </c>
      <c r="AQ88" s="961">
        <v>0</v>
      </c>
      <c r="AR88" s="961">
        <v>0</v>
      </c>
      <c r="AS88" s="961">
        <v>0</v>
      </c>
      <c r="AT88" s="961">
        <v>0</v>
      </c>
      <c r="AU88" s="961">
        <v>0</v>
      </c>
      <c r="AV88" s="961">
        <v>0</v>
      </c>
      <c r="AW88" s="961">
        <v>0</v>
      </c>
      <c r="AX88" s="796"/>
      <c r="AY88" s="796"/>
      <c r="AZ88" s="796"/>
      <c r="BA88" s="927"/>
    </row>
    <row r="89" spans="1:53" ht="68.400000000000006">
      <c r="A89" s="809">
        <v>1</v>
      </c>
      <c r="B89" s="927" t="s">
        <v>1361</v>
      </c>
      <c r="C89" s="927"/>
      <c r="D89" s="927" t="s">
        <v>1587</v>
      </c>
      <c r="E89" s="927"/>
      <c r="F89" s="927"/>
      <c r="G89" s="927"/>
      <c r="H89" s="927"/>
      <c r="I89" s="927"/>
      <c r="J89" s="927"/>
      <c r="K89" s="927"/>
      <c r="L89" s="953" t="s">
        <v>153</v>
      </c>
      <c r="M89" s="954" t="s">
        <v>466</v>
      </c>
      <c r="N89" s="955" t="s">
        <v>352</v>
      </c>
      <c r="O89" s="973"/>
      <c r="P89" s="973"/>
      <c r="Q89" s="973"/>
      <c r="R89" s="961">
        <v>0</v>
      </c>
      <c r="S89" s="973"/>
      <c r="T89" s="973"/>
      <c r="U89" s="973"/>
      <c r="V89" s="973"/>
      <c r="W89" s="973"/>
      <c r="X89" s="973"/>
      <c r="Y89" s="973"/>
      <c r="Z89" s="973"/>
      <c r="AA89" s="973"/>
      <c r="AB89" s="973"/>
      <c r="AC89" s="973"/>
      <c r="AD89" s="973"/>
      <c r="AE89" s="973"/>
      <c r="AF89" s="973"/>
      <c r="AG89" s="973"/>
      <c r="AH89" s="973"/>
      <c r="AI89" s="973"/>
      <c r="AJ89" s="973"/>
      <c r="AK89" s="973"/>
      <c r="AL89" s="973"/>
      <c r="AM89" s="973"/>
      <c r="AN89" s="961">
        <v>0</v>
      </c>
      <c r="AO89" s="961">
        <v>0</v>
      </c>
      <c r="AP89" s="961">
        <v>0</v>
      </c>
      <c r="AQ89" s="961">
        <v>0</v>
      </c>
      <c r="AR89" s="961">
        <v>0</v>
      </c>
      <c r="AS89" s="961">
        <v>0</v>
      </c>
      <c r="AT89" s="961">
        <v>0</v>
      </c>
      <c r="AU89" s="961">
        <v>0</v>
      </c>
      <c r="AV89" s="961">
        <v>0</v>
      </c>
      <c r="AW89" s="961">
        <v>0</v>
      </c>
      <c r="AX89" s="796"/>
      <c r="AY89" s="796"/>
      <c r="AZ89" s="796"/>
      <c r="BA89" s="927"/>
    </row>
    <row r="90" spans="1:53" ht="11.4">
      <c r="A90" s="809">
        <v>1</v>
      </c>
      <c r="B90" s="927" t="s">
        <v>619</v>
      </c>
      <c r="C90" s="927"/>
      <c r="D90" s="927" t="s">
        <v>1588</v>
      </c>
      <c r="E90" s="927"/>
      <c r="F90" s="927"/>
      <c r="G90" s="927"/>
      <c r="H90" s="927"/>
      <c r="I90" s="927"/>
      <c r="J90" s="927"/>
      <c r="K90" s="927"/>
      <c r="L90" s="953" t="s">
        <v>367</v>
      </c>
      <c r="M90" s="954" t="s">
        <v>619</v>
      </c>
      <c r="N90" s="955" t="s">
        <v>352</v>
      </c>
      <c r="O90" s="388">
        <v>0</v>
      </c>
      <c r="P90" s="388">
        <v>0</v>
      </c>
      <c r="Q90" s="388">
        <v>0</v>
      </c>
      <c r="R90" s="961">
        <v>0</v>
      </c>
      <c r="S90" s="388">
        <v>0</v>
      </c>
      <c r="T90" s="388">
        <v>0</v>
      </c>
      <c r="U90" s="388">
        <v>0</v>
      </c>
      <c r="V90" s="388">
        <v>0</v>
      </c>
      <c r="W90" s="388">
        <v>0</v>
      </c>
      <c r="X90" s="388">
        <v>0</v>
      </c>
      <c r="Y90" s="388">
        <v>0</v>
      </c>
      <c r="Z90" s="388">
        <v>0</v>
      </c>
      <c r="AA90" s="388">
        <v>0</v>
      </c>
      <c r="AB90" s="388">
        <v>0</v>
      </c>
      <c r="AC90" s="388">
        <v>0</v>
      </c>
      <c r="AD90" s="388">
        <v>0</v>
      </c>
      <c r="AE90" s="388">
        <v>0</v>
      </c>
      <c r="AF90" s="388">
        <v>0</v>
      </c>
      <c r="AG90" s="388">
        <v>0</v>
      </c>
      <c r="AH90" s="388">
        <v>0</v>
      </c>
      <c r="AI90" s="388">
        <v>0</v>
      </c>
      <c r="AJ90" s="388">
        <v>0</v>
      </c>
      <c r="AK90" s="388">
        <v>0</v>
      </c>
      <c r="AL90" s="388">
        <v>0</v>
      </c>
      <c r="AM90" s="388">
        <v>0</v>
      </c>
      <c r="AN90" s="961">
        <v>0</v>
      </c>
      <c r="AO90" s="961">
        <v>0</v>
      </c>
      <c r="AP90" s="961">
        <v>0</v>
      </c>
      <c r="AQ90" s="961">
        <v>0</v>
      </c>
      <c r="AR90" s="961">
        <v>0</v>
      </c>
      <c r="AS90" s="961">
        <v>0</v>
      </c>
      <c r="AT90" s="961">
        <v>0</v>
      </c>
      <c r="AU90" s="961">
        <v>0</v>
      </c>
      <c r="AV90" s="961">
        <v>0</v>
      </c>
      <c r="AW90" s="961">
        <v>0</v>
      </c>
      <c r="AX90" s="796"/>
      <c r="AY90" s="796"/>
      <c r="AZ90" s="796"/>
      <c r="BA90" s="927"/>
    </row>
    <row r="91" spans="1:53" ht="11.4">
      <c r="A91" s="809">
        <v>1</v>
      </c>
      <c r="B91" s="927"/>
      <c r="C91" s="927"/>
      <c r="D91" s="927" t="s">
        <v>1589</v>
      </c>
      <c r="E91" s="927"/>
      <c r="F91" s="927"/>
      <c r="G91" s="927"/>
      <c r="H91" s="927"/>
      <c r="I91" s="927"/>
      <c r="J91" s="927"/>
      <c r="K91" s="927"/>
      <c r="L91" s="953" t="s">
        <v>492</v>
      </c>
      <c r="M91" s="954" t="s">
        <v>620</v>
      </c>
      <c r="N91" s="955" t="s">
        <v>352</v>
      </c>
      <c r="O91" s="811"/>
      <c r="P91" s="811"/>
      <c r="Q91" s="811"/>
      <c r="R91" s="961">
        <v>0</v>
      </c>
      <c r="S91" s="811"/>
      <c r="T91" s="811"/>
      <c r="U91" s="811"/>
      <c r="V91" s="811"/>
      <c r="W91" s="811"/>
      <c r="X91" s="811"/>
      <c r="Y91" s="811"/>
      <c r="Z91" s="811"/>
      <c r="AA91" s="811"/>
      <c r="AB91" s="811"/>
      <c r="AC91" s="811"/>
      <c r="AD91" s="811"/>
      <c r="AE91" s="811"/>
      <c r="AF91" s="811"/>
      <c r="AG91" s="811"/>
      <c r="AH91" s="811"/>
      <c r="AI91" s="811"/>
      <c r="AJ91" s="811"/>
      <c r="AK91" s="811"/>
      <c r="AL91" s="811"/>
      <c r="AM91" s="811"/>
      <c r="AN91" s="961">
        <v>0</v>
      </c>
      <c r="AO91" s="961">
        <v>0</v>
      </c>
      <c r="AP91" s="961">
        <v>0</v>
      </c>
      <c r="AQ91" s="961">
        <v>0</v>
      </c>
      <c r="AR91" s="961">
        <v>0</v>
      </c>
      <c r="AS91" s="961">
        <v>0</v>
      </c>
      <c r="AT91" s="961">
        <v>0</v>
      </c>
      <c r="AU91" s="961">
        <v>0</v>
      </c>
      <c r="AV91" s="961">
        <v>0</v>
      </c>
      <c r="AW91" s="961">
        <v>0</v>
      </c>
      <c r="AX91" s="796"/>
      <c r="AY91" s="796"/>
      <c r="AZ91" s="796"/>
      <c r="BA91" s="927"/>
    </row>
    <row r="92" spans="1:53" ht="11.4">
      <c r="A92" s="809">
        <v>1</v>
      </c>
      <c r="B92" s="927" t="s">
        <v>622</v>
      </c>
      <c r="C92" s="927"/>
      <c r="D92" s="927" t="s">
        <v>1590</v>
      </c>
      <c r="E92" s="927"/>
      <c r="F92" s="927"/>
      <c r="G92" s="927"/>
      <c r="H92" s="927"/>
      <c r="I92" s="927"/>
      <c r="J92" s="927"/>
      <c r="K92" s="927"/>
      <c r="L92" s="953" t="s">
        <v>621</v>
      </c>
      <c r="M92" s="960" t="s">
        <v>622</v>
      </c>
      <c r="N92" s="955" t="s">
        <v>352</v>
      </c>
      <c r="O92" s="811"/>
      <c r="P92" s="811"/>
      <c r="Q92" s="811"/>
      <c r="R92" s="961">
        <v>0</v>
      </c>
      <c r="S92" s="811"/>
      <c r="T92" s="811"/>
      <c r="U92" s="811"/>
      <c r="V92" s="811"/>
      <c r="W92" s="811"/>
      <c r="X92" s="811"/>
      <c r="Y92" s="811"/>
      <c r="Z92" s="811"/>
      <c r="AA92" s="811"/>
      <c r="AB92" s="811"/>
      <c r="AC92" s="811"/>
      <c r="AD92" s="811"/>
      <c r="AE92" s="811"/>
      <c r="AF92" s="811"/>
      <c r="AG92" s="811"/>
      <c r="AH92" s="811"/>
      <c r="AI92" s="811"/>
      <c r="AJ92" s="811"/>
      <c r="AK92" s="811"/>
      <c r="AL92" s="811"/>
      <c r="AM92" s="811"/>
      <c r="AN92" s="961">
        <v>0</v>
      </c>
      <c r="AO92" s="961">
        <v>0</v>
      </c>
      <c r="AP92" s="961">
        <v>0</v>
      </c>
      <c r="AQ92" s="961">
        <v>0</v>
      </c>
      <c r="AR92" s="961">
        <v>0</v>
      </c>
      <c r="AS92" s="961">
        <v>0</v>
      </c>
      <c r="AT92" s="961">
        <v>0</v>
      </c>
      <c r="AU92" s="961">
        <v>0</v>
      </c>
      <c r="AV92" s="961">
        <v>0</v>
      </c>
      <c r="AW92" s="961">
        <v>0</v>
      </c>
      <c r="AX92" s="796"/>
      <c r="AY92" s="796"/>
      <c r="AZ92" s="796"/>
      <c r="BA92" s="927"/>
    </row>
    <row r="93" spans="1:53" ht="11.4">
      <c r="A93" s="809">
        <v>1</v>
      </c>
      <c r="B93" s="927" t="s">
        <v>623</v>
      </c>
      <c r="C93" s="927"/>
      <c r="D93" s="927" t="s">
        <v>1591</v>
      </c>
      <c r="E93" s="927"/>
      <c r="F93" s="927"/>
      <c r="G93" s="927"/>
      <c r="H93" s="927"/>
      <c r="I93" s="927"/>
      <c r="J93" s="927"/>
      <c r="K93" s="927"/>
      <c r="L93" s="953" t="s">
        <v>494</v>
      </c>
      <c r="M93" s="954" t="s">
        <v>623</v>
      </c>
      <c r="N93" s="955" t="s">
        <v>352</v>
      </c>
      <c r="O93" s="811"/>
      <c r="P93" s="811"/>
      <c r="Q93" s="811"/>
      <c r="R93" s="961">
        <v>0</v>
      </c>
      <c r="S93" s="811"/>
      <c r="T93" s="811">
        <v>0</v>
      </c>
      <c r="U93" s="811">
        <v>0</v>
      </c>
      <c r="V93" s="811">
        <v>0</v>
      </c>
      <c r="W93" s="811">
        <v>0</v>
      </c>
      <c r="X93" s="811">
        <v>0</v>
      </c>
      <c r="Y93" s="811">
        <v>0</v>
      </c>
      <c r="Z93" s="811">
        <v>0</v>
      </c>
      <c r="AA93" s="811">
        <v>0</v>
      </c>
      <c r="AB93" s="811">
        <v>0</v>
      </c>
      <c r="AC93" s="811">
        <v>0</v>
      </c>
      <c r="AD93" s="811">
        <v>0</v>
      </c>
      <c r="AE93" s="811">
        <v>0</v>
      </c>
      <c r="AF93" s="811">
        <v>0</v>
      </c>
      <c r="AG93" s="811">
        <v>0</v>
      </c>
      <c r="AH93" s="811">
        <v>0</v>
      </c>
      <c r="AI93" s="811">
        <v>0</v>
      </c>
      <c r="AJ93" s="811">
        <v>0</v>
      </c>
      <c r="AK93" s="811">
        <v>0</v>
      </c>
      <c r="AL93" s="811">
        <v>0</v>
      </c>
      <c r="AM93" s="811">
        <v>0</v>
      </c>
      <c r="AN93" s="961">
        <v>0</v>
      </c>
      <c r="AO93" s="961">
        <v>0</v>
      </c>
      <c r="AP93" s="961">
        <v>0</v>
      </c>
      <c r="AQ93" s="961">
        <v>0</v>
      </c>
      <c r="AR93" s="961">
        <v>0</v>
      </c>
      <c r="AS93" s="961">
        <v>0</v>
      </c>
      <c r="AT93" s="961">
        <v>0</v>
      </c>
      <c r="AU93" s="961">
        <v>0</v>
      </c>
      <c r="AV93" s="961">
        <v>0</v>
      </c>
      <c r="AW93" s="961">
        <v>0</v>
      </c>
      <c r="AX93" s="796"/>
      <c r="AY93" s="796"/>
      <c r="AZ93" s="796"/>
      <c r="BA93" s="927"/>
    </row>
    <row r="94" spans="1:53" ht="11.4">
      <c r="A94" s="809">
        <v>1</v>
      </c>
      <c r="B94" s="927" t="s">
        <v>624</v>
      </c>
      <c r="C94" s="927"/>
      <c r="D94" s="927" t="s">
        <v>1592</v>
      </c>
      <c r="E94" s="927"/>
      <c r="F94" s="927"/>
      <c r="G94" s="927"/>
      <c r="H94" s="927"/>
      <c r="I94" s="927"/>
      <c r="J94" s="927"/>
      <c r="K94" s="927"/>
      <c r="L94" s="953" t="s">
        <v>497</v>
      </c>
      <c r="M94" s="954" t="s">
        <v>624</v>
      </c>
      <c r="N94" s="955" t="s">
        <v>352</v>
      </c>
      <c r="O94" s="811"/>
      <c r="P94" s="811"/>
      <c r="Q94" s="811"/>
      <c r="R94" s="961">
        <v>0</v>
      </c>
      <c r="S94" s="811"/>
      <c r="T94" s="811"/>
      <c r="U94" s="811"/>
      <c r="V94" s="811"/>
      <c r="W94" s="811"/>
      <c r="X94" s="811"/>
      <c r="Y94" s="811"/>
      <c r="Z94" s="811"/>
      <c r="AA94" s="811"/>
      <c r="AB94" s="811"/>
      <c r="AC94" s="811"/>
      <c r="AD94" s="811"/>
      <c r="AE94" s="811"/>
      <c r="AF94" s="811"/>
      <c r="AG94" s="811"/>
      <c r="AH94" s="811"/>
      <c r="AI94" s="811"/>
      <c r="AJ94" s="811"/>
      <c r="AK94" s="811"/>
      <c r="AL94" s="811"/>
      <c r="AM94" s="811"/>
      <c r="AN94" s="961">
        <v>0</v>
      </c>
      <c r="AO94" s="961">
        <v>0</v>
      </c>
      <c r="AP94" s="961">
        <v>0</v>
      </c>
      <c r="AQ94" s="961">
        <v>0</v>
      </c>
      <c r="AR94" s="961">
        <v>0</v>
      </c>
      <c r="AS94" s="961">
        <v>0</v>
      </c>
      <c r="AT94" s="961">
        <v>0</v>
      </c>
      <c r="AU94" s="961">
        <v>0</v>
      </c>
      <c r="AV94" s="961">
        <v>0</v>
      </c>
      <c r="AW94" s="961">
        <v>0</v>
      </c>
      <c r="AX94" s="796"/>
      <c r="AY94" s="796"/>
      <c r="AZ94" s="796"/>
      <c r="BA94" s="927"/>
    </row>
    <row r="95" spans="1:53" ht="11.4">
      <c r="A95" s="809">
        <v>1</v>
      </c>
      <c r="B95" s="927" t="s">
        <v>625</v>
      </c>
      <c r="C95" s="927"/>
      <c r="D95" s="927" t="s">
        <v>1593</v>
      </c>
      <c r="E95" s="927"/>
      <c r="F95" s="927"/>
      <c r="G95" s="927"/>
      <c r="H95" s="927"/>
      <c r="I95" s="927"/>
      <c r="J95" s="927"/>
      <c r="K95" s="927"/>
      <c r="L95" s="953" t="s">
        <v>500</v>
      </c>
      <c r="M95" s="954" t="s">
        <v>625</v>
      </c>
      <c r="N95" s="955" t="s">
        <v>352</v>
      </c>
      <c r="O95" s="811"/>
      <c r="P95" s="811"/>
      <c r="Q95" s="811"/>
      <c r="R95" s="961">
        <v>0</v>
      </c>
      <c r="S95" s="811"/>
      <c r="T95" s="811"/>
      <c r="U95" s="811"/>
      <c r="V95" s="811"/>
      <c r="W95" s="811"/>
      <c r="X95" s="811"/>
      <c r="Y95" s="811"/>
      <c r="Z95" s="811"/>
      <c r="AA95" s="811"/>
      <c r="AB95" s="811"/>
      <c r="AC95" s="811"/>
      <c r="AD95" s="811"/>
      <c r="AE95" s="811"/>
      <c r="AF95" s="811"/>
      <c r="AG95" s="811"/>
      <c r="AH95" s="811"/>
      <c r="AI95" s="811"/>
      <c r="AJ95" s="811"/>
      <c r="AK95" s="811"/>
      <c r="AL95" s="811"/>
      <c r="AM95" s="811"/>
      <c r="AN95" s="961">
        <v>0</v>
      </c>
      <c r="AO95" s="961">
        <v>0</v>
      </c>
      <c r="AP95" s="961">
        <v>0</v>
      </c>
      <c r="AQ95" s="961">
        <v>0</v>
      </c>
      <c r="AR95" s="961">
        <v>0</v>
      </c>
      <c r="AS95" s="961">
        <v>0</v>
      </c>
      <c r="AT95" s="961">
        <v>0</v>
      </c>
      <c r="AU95" s="961">
        <v>0</v>
      </c>
      <c r="AV95" s="961">
        <v>0</v>
      </c>
      <c r="AW95" s="961">
        <v>0</v>
      </c>
      <c r="AX95" s="796"/>
      <c r="AY95" s="796"/>
      <c r="AZ95" s="796"/>
      <c r="BA95" s="927"/>
    </row>
    <row r="96" spans="1:53" ht="11.4">
      <c r="A96" s="809">
        <v>1</v>
      </c>
      <c r="B96" s="927" t="s">
        <v>627</v>
      </c>
      <c r="C96" s="927"/>
      <c r="D96" s="927" t="s">
        <v>1594</v>
      </c>
      <c r="E96" s="927"/>
      <c r="F96" s="927"/>
      <c r="G96" s="927"/>
      <c r="H96" s="927"/>
      <c r="I96" s="927"/>
      <c r="J96" s="927"/>
      <c r="K96" s="927"/>
      <c r="L96" s="953" t="s">
        <v>626</v>
      </c>
      <c r="M96" s="954" t="s">
        <v>627</v>
      </c>
      <c r="N96" s="955" t="s">
        <v>352</v>
      </c>
      <c r="O96" s="961">
        <v>0</v>
      </c>
      <c r="P96" s="961">
        <v>0</v>
      </c>
      <c r="Q96" s="961">
        <v>0</v>
      </c>
      <c r="R96" s="961">
        <v>0</v>
      </c>
      <c r="S96" s="961">
        <v>0</v>
      </c>
      <c r="T96" s="961">
        <v>0</v>
      </c>
      <c r="U96" s="961">
        <v>0</v>
      </c>
      <c r="V96" s="961">
        <v>0</v>
      </c>
      <c r="W96" s="961">
        <v>0</v>
      </c>
      <c r="X96" s="961">
        <v>0</v>
      </c>
      <c r="Y96" s="961">
        <v>0</v>
      </c>
      <c r="Z96" s="961">
        <v>0</v>
      </c>
      <c r="AA96" s="961">
        <v>0</v>
      </c>
      <c r="AB96" s="961">
        <v>0</v>
      </c>
      <c r="AC96" s="961">
        <v>0</v>
      </c>
      <c r="AD96" s="961">
        <v>0</v>
      </c>
      <c r="AE96" s="961">
        <v>0</v>
      </c>
      <c r="AF96" s="961">
        <v>0</v>
      </c>
      <c r="AG96" s="961">
        <v>0</v>
      </c>
      <c r="AH96" s="961">
        <v>0</v>
      </c>
      <c r="AI96" s="961">
        <v>0</v>
      </c>
      <c r="AJ96" s="961">
        <v>0</v>
      </c>
      <c r="AK96" s="961">
        <v>0</v>
      </c>
      <c r="AL96" s="961">
        <v>0</v>
      </c>
      <c r="AM96" s="961">
        <v>0</v>
      </c>
      <c r="AN96" s="961">
        <v>0</v>
      </c>
      <c r="AO96" s="961">
        <v>0</v>
      </c>
      <c r="AP96" s="961">
        <v>0</v>
      </c>
      <c r="AQ96" s="961">
        <v>0</v>
      </c>
      <c r="AR96" s="961">
        <v>0</v>
      </c>
      <c r="AS96" s="961">
        <v>0</v>
      </c>
      <c r="AT96" s="961">
        <v>0</v>
      </c>
      <c r="AU96" s="961">
        <v>0</v>
      </c>
      <c r="AV96" s="961">
        <v>0</v>
      </c>
      <c r="AW96" s="961">
        <v>0</v>
      </c>
      <c r="AX96" s="796"/>
      <c r="AY96" s="796"/>
      <c r="AZ96" s="796"/>
      <c r="BA96" s="927"/>
    </row>
    <row r="97" spans="1:53" ht="11.4">
      <c r="A97" s="809">
        <v>1</v>
      </c>
      <c r="B97" s="927"/>
      <c r="C97" s="927"/>
      <c r="D97" s="927" t="s">
        <v>1595</v>
      </c>
      <c r="E97" s="927"/>
      <c r="F97" s="927"/>
      <c r="G97" s="927"/>
      <c r="H97" s="927"/>
      <c r="I97" s="927"/>
      <c r="J97" s="927"/>
      <c r="K97" s="927"/>
      <c r="L97" s="953" t="s">
        <v>628</v>
      </c>
      <c r="M97" s="960" t="s">
        <v>629</v>
      </c>
      <c r="N97" s="955" t="s">
        <v>352</v>
      </c>
      <c r="O97" s="811"/>
      <c r="P97" s="811"/>
      <c r="Q97" s="811"/>
      <c r="R97" s="961">
        <v>0</v>
      </c>
      <c r="S97" s="811"/>
      <c r="T97" s="811"/>
      <c r="U97" s="811"/>
      <c r="V97" s="811"/>
      <c r="W97" s="811"/>
      <c r="X97" s="811"/>
      <c r="Y97" s="811"/>
      <c r="Z97" s="811"/>
      <c r="AA97" s="811"/>
      <c r="AB97" s="811"/>
      <c r="AC97" s="811"/>
      <c r="AD97" s="811"/>
      <c r="AE97" s="811"/>
      <c r="AF97" s="811"/>
      <c r="AG97" s="811"/>
      <c r="AH97" s="811"/>
      <c r="AI97" s="811"/>
      <c r="AJ97" s="811"/>
      <c r="AK97" s="811"/>
      <c r="AL97" s="811"/>
      <c r="AM97" s="811"/>
      <c r="AN97" s="961">
        <v>0</v>
      </c>
      <c r="AO97" s="961">
        <v>0</v>
      </c>
      <c r="AP97" s="961">
        <v>0</v>
      </c>
      <c r="AQ97" s="961">
        <v>0</v>
      </c>
      <c r="AR97" s="961">
        <v>0</v>
      </c>
      <c r="AS97" s="961">
        <v>0</v>
      </c>
      <c r="AT97" s="961">
        <v>0</v>
      </c>
      <c r="AU97" s="961">
        <v>0</v>
      </c>
      <c r="AV97" s="961">
        <v>0</v>
      </c>
      <c r="AW97" s="961">
        <v>0</v>
      </c>
      <c r="AX97" s="796"/>
      <c r="AY97" s="796"/>
      <c r="AZ97" s="796"/>
      <c r="BA97" s="927"/>
    </row>
    <row r="98" spans="1:53" ht="11.4">
      <c r="A98" s="809">
        <v>1</v>
      </c>
      <c r="B98" s="927"/>
      <c r="C98" s="927"/>
      <c r="D98" s="927" t="s">
        <v>1596</v>
      </c>
      <c r="E98" s="927"/>
      <c r="F98" s="927"/>
      <c r="G98" s="927"/>
      <c r="H98" s="927"/>
      <c r="I98" s="927"/>
      <c r="J98" s="927"/>
      <c r="K98" s="927"/>
      <c r="L98" s="953" t="s">
        <v>630</v>
      </c>
      <c r="M98" s="960" t="s">
        <v>631</v>
      </c>
      <c r="N98" s="955" t="s">
        <v>352</v>
      </c>
      <c r="O98" s="811"/>
      <c r="P98" s="811"/>
      <c r="Q98" s="811"/>
      <c r="R98" s="961">
        <v>0</v>
      </c>
      <c r="S98" s="811"/>
      <c r="T98" s="811"/>
      <c r="U98" s="811"/>
      <c r="V98" s="811"/>
      <c r="W98" s="811"/>
      <c r="X98" s="811"/>
      <c r="Y98" s="811"/>
      <c r="Z98" s="811"/>
      <c r="AA98" s="811"/>
      <c r="AB98" s="811"/>
      <c r="AC98" s="811"/>
      <c r="AD98" s="811"/>
      <c r="AE98" s="811"/>
      <c r="AF98" s="811"/>
      <c r="AG98" s="811"/>
      <c r="AH98" s="811"/>
      <c r="AI98" s="811"/>
      <c r="AJ98" s="811"/>
      <c r="AK98" s="811"/>
      <c r="AL98" s="811"/>
      <c r="AM98" s="811"/>
      <c r="AN98" s="961">
        <v>0</v>
      </c>
      <c r="AO98" s="961">
        <v>0</v>
      </c>
      <c r="AP98" s="961">
        <v>0</v>
      </c>
      <c r="AQ98" s="961">
        <v>0</v>
      </c>
      <c r="AR98" s="961">
        <v>0</v>
      </c>
      <c r="AS98" s="961">
        <v>0</v>
      </c>
      <c r="AT98" s="961">
        <v>0</v>
      </c>
      <c r="AU98" s="961">
        <v>0</v>
      </c>
      <c r="AV98" s="961">
        <v>0</v>
      </c>
      <c r="AW98" s="961">
        <v>0</v>
      </c>
      <c r="AX98" s="796"/>
      <c r="AY98" s="796"/>
      <c r="AZ98" s="796"/>
      <c r="BA98" s="927"/>
    </row>
    <row r="99" spans="1:53" ht="34.200000000000003">
      <c r="A99" s="809">
        <v>1</v>
      </c>
      <c r="B99" s="927" t="s">
        <v>1362</v>
      </c>
      <c r="C99" s="927"/>
      <c r="D99" s="927" t="s">
        <v>1597</v>
      </c>
      <c r="E99" s="927"/>
      <c r="F99" s="927"/>
      <c r="G99" s="927"/>
      <c r="H99" s="927"/>
      <c r="I99" s="927"/>
      <c r="J99" s="927"/>
      <c r="K99" s="927"/>
      <c r="L99" s="953" t="s">
        <v>632</v>
      </c>
      <c r="M99" s="954" t="s">
        <v>633</v>
      </c>
      <c r="N99" s="955" t="s">
        <v>352</v>
      </c>
      <c r="O99" s="811"/>
      <c r="P99" s="811"/>
      <c r="Q99" s="811"/>
      <c r="R99" s="961">
        <v>0</v>
      </c>
      <c r="S99" s="811"/>
      <c r="T99" s="811"/>
      <c r="U99" s="811"/>
      <c r="V99" s="811"/>
      <c r="W99" s="811"/>
      <c r="X99" s="811"/>
      <c r="Y99" s="811"/>
      <c r="Z99" s="811"/>
      <c r="AA99" s="811"/>
      <c r="AB99" s="811"/>
      <c r="AC99" s="811"/>
      <c r="AD99" s="811"/>
      <c r="AE99" s="811"/>
      <c r="AF99" s="811"/>
      <c r="AG99" s="811"/>
      <c r="AH99" s="811"/>
      <c r="AI99" s="811"/>
      <c r="AJ99" s="811"/>
      <c r="AK99" s="811"/>
      <c r="AL99" s="811"/>
      <c r="AM99" s="811"/>
      <c r="AN99" s="961">
        <v>0</v>
      </c>
      <c r="AO99" s="961">
        <v>0</v>
      </c>
      <c r="AP99" s="961">
        <v>0</v>
      </c>
      <c r="AQ99" s="961">
        <v>0</v>
      </c>
      <c r="AR99" s="961">
        <v>0</v>
      </c>
      <c r="AS99" s="961">
        <v>0</v>
      </c>
      <c r="AT99" s="961">
        <v>0</v>
      </c>
      <c r="AU99" s="961">
        <v>0</v>
      </c>
      <c r="AV99" s="961">
        <v>0</v>
      </c>
      <c r="AW99" s="961">
        <v>0</v>
      </c>
      <c r="AX99" s="796"/>
      <c r="AY99" s="796"/>
      <c r="AZ99" s="796"/>
      <c r="BA99" s="927"/>
    </row>
    <row r="100" spans="1:53" s="109" customFormat="1" ht="11.4">
      <c r="A100" s="809">
        <v>1</v>
      </c>
      <c r="B100" s="927" t="s">
        <v>1078</v>
      </c>
      <c r="C100" s="927"/>
      <c r="D100" s="927" t="s">
        <v>1442</v>
      </c>
      <c r="E100" s="968"/>
      <c r="F100" s="968"/>
      <c r="G100" s="968"/>
      <c r="H100" s="968"/>
      <c r="I100" s="968"/>
      <c r="J100" s="968"/>
      <c r="K100" s="968"/>
      <c r="L100" s="969" t="s">
        <v>103</v>
      </c>
      <c r="M100" s="947" t="s">
        <v>634</v>
      </c>
      <c r="N100" s="971" t="s">
        <v>352</v>
      </c>
      <c r="O100" s="466">
        <v>79.319999999999993</v>
      </c>
      <c r="P100" s="466">
        <v>75.44</v>
      </c>
      <c r="Q100" s="466">
        <v>85.5</v>
      </c>
      <c r="R100" s="950">
        <v>10.060000000000002</v>
      </c>
      <c r="S100" s="466">
        <v>76.459999999999994</v>
      </c>
      <c r="T100" s="466">
        <v>88.71</v>
      </c>
      <c r="U100" s="466">
        <v>0</v>
      </c>
      <c r="V100" s="466">
        <v>0</v>
      </c>
      <c r="W100" s="466">
        <v>0</v>
      </c>
      <c r="X100" s="466">
        <v>0</v>
      </c>
      <c r="Y100" s="466">
        <v>0</v>
      </c>
      <c r="Z100" s="466">
        <v>0</v>
      </c>
      <c r="AA100" s="466">
        <v>0</v>
      </c>
      <c r="AB100" s="466">
        <v>0</v>
      </c>
      <c r="AC100" s="466">
        <v>0</v>
      </c>
      <c r="AD100" s="466">
        <v>105.68</v>
      </c>
      <c r="AE100" s="466">
        <v>0</v>
      </c>
      <c r="AF100" s="466">
        <v>0</v>
      </c>
      <c r="AG100" s="466">
        <v>0</v>
      </c>
      <c r="AH100" s="466">
        <v>0</v>
      </c>
      <c r="AI100" s="466">
        <v>0</v>
      </c>
      <c r="AJ100" s="466">
        <v>0</v>
      </c>
      <c r="AK100" s="466">
        <v>0</v>
      </c>
      <c r="AL100" s="466">
        <v>0</v>
      </c>
      <c r="AM100" s="466">
        <v>0</v>
      </c>
      <c r="AN100" s="950">
        <v>38.216060685325679</v>
      </c>
      <c r="AO100" s="950">
        <v>-100</v>
      </c>
      <c r="AP100" s="950">
        <v>0</v>
      </c>
      <c r="AQ100" s="950">
        <v>0</v>
      </c>
      <c r="AR100" s="950">
        <v>0</v>
      </c>
      <c r="AS100" s="950">
        <v>0</v>
      </c>
      <c r="AT100" s="950">
        <v>0</v>
      </c>
      <c r="AU100" s="950">
        <v>0</v>
      </c>
      <c r="AV100" s="950">
        <v>0</v>
      </c>
      <c r="AW100" s="950">
        <v>0</v>
      </c>
      <c r="AX100" s="796"/>
      <c r="AY100" s="796"/>
      <c r="AZ100" s="796"/>
      <c r="BA100" s="968"/>
    </row>
    <row r="101" spans="1:53" s="109" customFormat="1" ht="34.200000000000003">
      <c r="A101" s="809">
        <v>1</v>
      </c>
      <c r="B101" s="927" t="s">
        <v>1079</v>
      </c>
      <c r="C101" s="927"/>
      <c r="D101" s="927" t="s">
        <v>1444</v>
      </c>
      <c r="E101" s="968"/>
      <c r="F101" s="968"/>
      <c r="G101" s="968"/>
      <c r="H101" s="968"/>
      <c r="I101" s="968"/>
      <c r="J101" s="968"/>
      <c r="K101" s="968"/>
      <c r="L101" s="969" t="s">
        <v>104</v>
      </c>
      <c r="M101" s="947" t="s">
        <v>635</v>
      </c>
      <c r="N101" s="971" t="s">
        <v>352</v>
      </c>
      <c r="O101" s="466">
        <v>71.19</v>
      </c>
      <c r="P101" s="466">
        <v>6039.86</v>
      </c>
      <c r="Q101" s="466">
        <v>0</v>
      </c>
      <c r="R101" s="950">
        <v>-6039.86</v>
      </c>
      <c r="S101" s="466">
        <v>71.19</v>
      </c>
      <c r="T101" s="466">
        <v>434.78</v>
      </c>
      <c r="U101" s="466">
        <v>0</v>
      </c>
      <c r="V101" s="466">
        <v>0</v>
      </c>
      <c r="W101" s="466">
        <v>0</v>
      </c>
      <c r="X101" s="466">
        <v>0</v>
      </c>
      <c r="Y101" s="466">
        <v>0</v>
      </c>
      <c r="Z101" s="466">
        <v>0</v>
      </c>
      <c r="AA101" s="466">
        <v>0</v>
      </c>
      <c r="AB101" s="466">
        <v>0</v>
      </c>
      <c r="AC101" s="466">
        <v>0</v>
      </c>
      <c r="AD101" s="466">
        <v>0</v>
      </c>
      <c r="AE101" s="466">
        <v>0</v>
      </c>
      <c r="AF101" s="466">
        <v>0</v>
      </c>
      <c r="AG101" s="466">
        <v>0</v>
      </c>
      <c r="AH101" s="466">
        <v>0</v>
      </c>
      <c r="AI101" s="466">
        <v>0</v>
      </c>
      <c r="AJ101" s="466">
        <v>0</v>
      </c>
      <c r="AK101" s="466">
        <v>0</v>
      </c>
      <c r="AL101" s="466">
        <v>0</v>
      </c>
      <c r="AM101" s="466">
        <v>0</v>
      </c>
      <c r="AN101" s="950">
        <v>-100</v>
      </c>
      <c r="AO101" s="950">
        <v>0</v>
      </c>
      <c r="AP101" s="950">
        <v>0</v>
      </c>
      <c r="AQ101" s="950">
        <v>0</v>
      </c>
      <c r="AR101" s="950">
        <v>0</v>
      </c>
      <c r="AS101" s="950">
        <v>0</v>
      </c>
      <c r="AT101" s="950">
        <v>0</v>
      </c>
      <c r="AU101" s="950">
        <v>0</v>
      </c>
      <c r="AV101" s="950">
        <v>0</v>
      </c>
      <c r="AW101" s="950">
        <v>0</v>
      </c>
      <c r="AX101" s="796"/>
      <c r="AY101" s="796"/>
      <c r="AZ101" s="796"/>
      <c r="BA101" s="968"/>
    </row>
    <row r="102" spans="1:53" ht="11.4">
      <c r="A102" s="809">
        <v>1</v>
      </c>
      <c r="B102" s="927"/>
      <c r="C102" s="927"/>
      <c r="D102" s="927" t="s">
        <v>1598</v>
      </c>
      <c r="E102" s="927"/>
      <c r="F102" s="927"/>
      <c r="G102" s="927"/>
      <c r="H102" s="927"/>
      <c r="I102" s="927"/>
      <c r="J102" s="927"/>
      <c r="K102" s="927"/>
      <c r="L102" s="953" t="s">
        <v>140</v>
      </c>
      <c r="M102" s="974" t="s">
        <v>1206</v>
      </c>
      <c r="N102" s="955" t="s">
        <v>352</v>
      </c>
      <c r="O102" s="811">
        <v>0</v>
      </c>
      <c r="P102" s="811">
        <v>0</v>
      </c>
      <c r="Q102" s="811">
        <v>0</v>
      </c>
      <c r="R102" s="961">
        <v>0</v>
      </c>
      <c r="S102" s="811">
        <v>0</v>
      </c>
      <c r="T102" s="811">
        <v>0</v>
      </c>
      <c r="U102" s="811">
        <v>0</v>
      </c>
      <c r="V102" s="811">
        <v>0</v>
      </c>
      <c r="W102" s="811">
        <v>0</v>
      </c>
      <c r="X102" s="811">
        <v>0</v>
      </c>
      <c r="Y102" s="811">
        <v>0</v>
      </c>
      <c r="Z102" s="811">
        <v>0</v>
      </c>
      <c r="AA102" s="811">
        <v>0</v>
      </c>
      <c r="AB102" s="811">
        <v>0</v>
      </c>
      <c r="AC102" s="811">
        <v>0</v>
      </c>
      <c r="AD102" s="811">
        <v>0</v>
      </c>
      <c r="AE102" s="811">
        <v>0</v>
      </c>
      <c r="AF102" s="811">
        <v>0</v>
      </c>
      <c r="AG102" s="811">
        <v>0</v>
      </c>
      <c r="AH102" s="811">
        <v>0</v>
      </c>
      <c r="AI102" s="811">
        <v>0</v>
      </c>
      <c r="AJ102" s="811">
        <v>0</v>
      </c>
      <c r="AK102" s="811">
        <v>0</v>
      </c>
      <c r="AL102" s="811">
        <v>0</v>
      </c>
      <c r="AM102" s="811">
        <v>0</v>
      </c>
      <c r="AN102" s="961">
        <v>0</v>
      </c>
      <c r="AO102" s="961">
        <v>0</v>
      </c>
      <c r="AP102" s="961">
        <v>0</v>
      </c>
      <c r="AQ102" s="961">
        <v>0</v>
      </c>
      <c r="AR102" s="961">
        <v>0</v>
      </c>
      <c r="AS102" s="961">
        <v>0</v>
      </c>
      <c r="AT102" s="961">
        <v>0</v>
      </c>
      <c r="AU102" s="961">
        <v>0</v>
      </c>
      <c r="AV102" s="961">
        <v>0</v>
      </c>
      <c r="AW102" s="961">
        <v>0</v>
      </c>
      <c r="AX102" s="796"/>
      <c r="AY102" s="796"/>
      <c r="AZ102" s="796"/>
      <c r="BA102" s="927"/>
    </row>
    <row r="103" spans="1:53" s="109" customFormat="1" ht="11.4">
      <c r="A103" s="809">
        <v>1</v>
      </c>
      <c r="B103" s="927" t="s">
        <v>636</v>
      </c>
      <c r="C103" s="927"/>
      <c r="D103" s="927" t="s">
        <v>1446</v>
      </c>
      <c r="E103" s="968"/>
      <c r="F103" s="968"/>
      <c r="G103" s="968"/>
      <c r="H103" s="968"/>
      <c r="I103" s="968"/>
      <c r="J103" s="968"/>
      <c r="K103" s="968"/>
      <c r="L103" s="969" t="s">
        <v>120</v>
      </c>
      <c r="M103" s="975" t="s">
        <v>636</v>
      </c>
      <c r="N103" s="948" t="s">
        <v>352</v>
      </c>
      <c r="O103" s="950">
        <v>0</v>
      </c>
      <c r="P103" s="950">
        <v>0</v>
      </c>
      <c r="Q103" s="950">
        <v>0</v>
      </c>
      <c r="R103" s="466">
        <v>0</v>
      </c>
      <c r="S103" s="950">
        <v>0</v>
      </c>
      <c r="T103" s="950">
        <v>0</v>
      </c>
      <c r="U103" s="950">
        <v>0</v>
      </c>
      <c r="V103" s="950">
        <v>0</v>
      </c>
      <c r="W103" s="950">
        <v>0</v>
      </c>
      <c r="X103" s="950">
        <v>0</v>
      </c>
      <c r="Y103" s="950">
        <v>0</v>
      </c>
      <c r="Z103" s="950">
        <v>0</v>
      </c>
      <c r="AA103" s="950">
        <v>0</v>
      </c>
      <c r="AB103" s="950">
        <v>0</v>
      </c>
      <c r="AC103" s="950">
        <v>0</v>
      </c>
      <c r="AD103" s="950">
        <v>0</v>
      </c>
      <c r="AE103" s="950">
        <v>0</v>
      </c>
      <c r="AF103" s="950">
        <v>0</v>
      </c>
      <c r="AG103" s="950">
        <v>0</v>
      </c>
      <c r="AH103" s="950">
        <v>0</v>
      </c>
      <c r="AI103" s="950">
        <v>0</v>
      </c>
      <c r="AJ103" s="950">
        <v>0</v>
      </c>
      <c r="AK103" s="950">
        <v>0</v>
      </c>
      <c r="AL103" s="950">
        <v>0</v>
      </c>
      <c r="AM103" s="950">
        <v>0</v>
      </c>
      <c r="AN103" s="950">
        <v>0</v>
      </c>
      <c r="AO103" s="950">
        <v>0</v>
      </c>
      <c r="AP103" s="950">
        <v>0</v>
      </c>
      <c r="AQ103" s="950">
        <v>0</v>
      </c>
      <c r="AR103" s="950">
        <v>0</v>
      </c>
      <c r="AS103" s="950">
        <v>0</v>
      </c>
      <c r="AT103" s="950">
        <v>0</v>
      </c>
      <c r="AU103" s="950">
        <v>0</v>
      </c>
      <c r="AV103" s="950">
        <v>0</v>
      </c>
      <c r="AW103" s="950">
        <v>0</v>
      </c>
      <c r="AX103" s="796"/>
      <c r="AY103" s="796"/>
      <c r="AZ103" s="796"/>
      <c r="BA103" s="968"/>
    </row>
    <row r="104" spans="1:53" ht="11.4">
      <c r="A104" s="809">
        <v>1</v>
      </c>
      <c r="B104" s="927"/>
      <c r="C104" s="927"/>
      <c r="D104" s="927" t="s">
        <v>1599</v>
      </c>
      <c r="E104" s="927"/>
      <c r="F104" s="927"/>
      <c r="G104" s="927"/>
      <c r="H104" s="927"/>
      <c r="I104" s="927"/>
      <c r="J104" s="927"/>
      <c r="K104" s="927"/>
      <c r="L104" s="953" t="s">
        <v>122</v>
      </c>
      <c r="M104" s="954" t="s">
        <v>637</v>
      </c>
      <c r="N104" s="955" t="s">
        <v>352</v>
      </c>
      <c r="O104" s="811">
        <v>0</v>
      </c>
      <c r="P104" s="811">
        <v>0</v>
      </c>
      <c r="Q104" s="811">
        <v>0</v>
      </c>
      <c r="R104" s="961">
        <v>0</v>
      </c>
      <c r="S104" s="811">
        <v>0</v>
      </c>
      <c r="T104" s="811">
        <v>0</v>
      </c>
      <c r="U104" s="811">
        <v>0</v>
      </c>
      <c r="V104" s="811">
        <v>0</v>
      </c>
      <c r="W104" s="811">
        <v>0</v>
      </c>
      <c r="X104" s="811">
        <v>0</v>
      </c>
      <c r="Y104" s="811">
        <v>0</v>
      </c>
      <c r="Z104" s="811">
        <v>0</v>
      </c>
      <c r="AA104" s="811">
        <v>0</v>
      </c>
      <c r="AB104" s="811">
        <v>0</v>
      </c>
      <c r="AC104" s="811">
        <v>0</v>
      </c>
      <c r="AD104" s="811">
        <v>0</v>
      </c>
      <c r="AE104" s="811">
        <v>0</v>
      </c>
      <c r="AF104" s="811">
        <v>0</v>
      </c>
      <c r="AG104" s="811">
        <v>0</v>
      </c>
      <c r="AH104" s="811">
        <v>0</v>
      </c>
      <c r="AI104" s="811">
        <v>0</v>
      </c>
      <c r="AJ104" s="811">
        <v>0</v>
      </c>
      <c r="AK104" s="811">
        <v>0</v>
      </c>
      <c r="AL104" s="811">
        <v>0</v>
      </c>
      <c r="AM104" s="811">
        <v>0</v>
      </c>
      <c r="AN104" s="961">
        <v>0</v>
      </c>
      <c r="AO104" s="961">
        <v>0</v>
      </c>
      <c r="AP104" s="961">
        <v>0</v>
      </c>
      <c r="AQ104" s="961">
        <v>0</v>
      </c>
      <c r="AR104" s="961">
        <v>0</v>
      </c>
      <c r="AS104" s="961">
        <v>0</v>
      </c>
      <c r="AT104" s="961">
        <v>0</v>
      </c>
      <c r="AU104" s="961">
        <v>0</v>
      </c>
      <c r="AV104" s="961">
        <v>0</v>
      </c>
      <c r="AW104" s="961">
        <v>0</v>
      </c>
      <c r="AX104" s="796"/>
      <c r="AY104" s="796"/>
      <c r="AZ104" s="796"/>
      <c r="BA104" s="927"/>
    </row>
    <row r="105" spans="1:53" ht="11.4">
      <c r="A105" s="809">
        <v>1</v>
      </c>
      <c r="B105" s="927"/>
      <c r="C105" s="927"/>
      <c r="D105" s="927" t="s">
        <v>1600</v>
      </c>
      <c r="E105" s="927"/>
      <c r="F105" s="927"/>
      <c r="G105" s="927"/>
      <c r="H105" s="927"/>
      <c r="I105" s="927"/>
      <c r="J105" s="927"/>
      <c r="K105" s="927"/>
      <c r="L105" s="953" t="s">
        <v>123</v>
      </c>
      <c r="M105" s="954" t="s">
        <v>638</v>
      </c>
      <c r="N105" s="955" t="s">
        <v>352</v>
      </c>
      <c r="O105" s="811">
        <v>0</v>
      </c>
      <c r="P105" s="811">
        <v>0</v>
      </c>
      <c r="Q105" s="811">
        <v>0</v>
      </c>
      <c r="R105" s="961">
        <v>0</v>
      </c>
      <c r="S105" s="811">
        <v>0</v>
      </c>
      <c r="T105" s="811">
        <v>0</v>
      </c>
      <c r="U105" s="811">
        <v>0</v>
      </c>
      <c r="V105" s="811">
        <v>0</v>
      </c>
      <c r="W105" s="811">
        <v>0</v>
      </c>
      <c r="X105" s="811">
        <v>0</v>
      </c>
      <c r="Y105" s="811">
        <v>0</v>
      </c>
      <c r="Z105" s="811">
        <v>0</v>
      </c>
      <c r="AA105" s="811">
        <v>0</v>
      </c>
      <c r="AB105" s="811">
        <v>0</v>
      </c>
      <c r="AC105" s="811">
        <v>0</v>
      </c>
      <c r="AD105" s="811">
        <v>0</v>
      </c>
      <c r="AE105" s="811">
        <v>0</v>
      </c>
      <c r="AF105" s="811">
        <v>0</v>
      </c>
      <c r="AG105" s="811">
        <v>0</v>
      </c>
      <c r="AH105" s="811">
        <v>0</v>
      </c>
      <c r="AI105" s="811">
        <v>0</v>
      </c>
      <c r="AJ105" s="811">
        <v>0</v>
      </c>
      <c r="AK105" s="811">
        <v>0</v>
      </c>
      <c r="AL105" s="811">
        <v>0</v>
      </c>
      <c r="AM105" s="811">
        <v>0</v>
      </c>
      <c r="AN105" s="961">
        <v>0</v>
      </c>
      <c r="AO105" s="961">
        <v>0</v>
      </c>
      <c r="AP105" s="961">
        <v>0</v>
      </c>
      <c r="AQ105" s="961">
        <v>0</v>
      </c>
      <c r="AR105" s="961">
        <v>0</v>
      </c>
      <c r="AS105" s="961">
        <v>0</v>
      </c>
      <c r="AT105" s="961">
        <v>0</v>
      </c>
      <c r="AU105" s="961">
        <v>0</v>
      </c>
      <c r="AV105" s="961">
        <v>0</v>
      </c>
      <c r="AW105" s="961">
        <v>0</v>
      </c>
      <c r="AX105" s="796"/>
      <c r="AY105" s="796"/>
      <c r="AZ105" s="796"/>
      <c r="BA105" s="927"/>
    </row>
    <row r="106" spans="1:53" ht="11.4">
      <c r="A106" s="809">
        <v>1</v>
      </c>
      <c r="B106" s="927"/>
      <c r="C106" s="927"/>
      <c r="D106" s="927" t="s">
        <v>1601</v>
      </c>
      <c r="E106" s="927"/>
      <c r="F106" s="927"/>
      <c r="G106" s="927"/>
      <c r="H106" s="927"/>
      <c r="I106" s="927"/>
      <c r="J106" s="927"/>
      <c r="K106" s="927"/>
      <c r="L106" s="953" t="s">
        <v>378</v>
      </c>
      <c r="M106" s="954" t="s">
        <v>639</v>
      </c>
      <c r="N106" s="955" t="s">
        <v>352</v>
      </c>
      <c r="O106" s="811">
        <v>0</v>
      </c>
      <c r="P106" s="811">
        <v>0</v>
      </c>
      <c r="Q106" s="811">
        <v>0</v>
      </c>
      <c r="R106" s="961">
        <v>0</v>
      </c>
      <c r="S106" s="811">
        <v>0</v>
      </c>
      <c r="T106" s="811">
        <v>0</v>
      </c>
      <c r="U106" s="811">
        <v>0</v>
      </c>
      <c r="V106" s="811">
        <v>0</v>
      </c>
      <c r="W106" s="811">
        <v>0</v>
      </c>
      <c r="X106" s="811">
        <v>0</v>
      </c>
      <c r="Y106" s="811">
        <v>0</v>
      </c>
      <c r="Z106" s="811">
        <v>0</v>
      </c>
      <c r="AA106" s="811">
        <v>0</v>
      </c>
      <c r="AB106" s="811">
        <v>0</v>
      </c>
      <c r="AC106" s="811">
        <v>0</v>
      </c>
      <c r="AD106" s="811">
        <v>0</v>
      </c>
      <c r="AE106" s="811">
        <v>0</v>
      </c>
      <c r="AF106" s="811">
        <v>0</v>
      </c>
      <c r="AG106" s="811">
        <v>0</v>
      </c>
      <c r="AH106" s="811">
        <v>0</v>
      </c>
      <c r="AI106" s="811">
        <v>0</v>
      </c>
      <c r="AJ106" s="811">
        <v>0</v>
      </c>
      <c r="AK106" s="811">
        <v>0</v>
      </c>
      <c r="AL106" s="811">
        <v>0</v>
      </c>
      <c r="AM106" s="811">
        <v>0</v>
      </c>
      <c r="AN106" s="961">
        <v>0</v>
      </c>
      <c r="AO106" s="961">
        <v>0</v>
      </c>
      <c r="AP106" s="961">
        <v>0</v>
      </c>
      <c r="AQ106" s="961">
        <v>0</v>
      </c>
      <c r="AR106" s="961">
        <v>0</v>
      </c>
      <c r="AS106" s="961">
        <v>0</v>
      </c>
      <c r="AT106" s="961">
        <v>0</v>
      </c>
      <c r="AU106" s="961">
        <v>0</v>
      </c>
      <c r="AV106" s="961">
        <v>0</v>
      </c>
      <c r="AW106" s="961">
        <v>0</v>
      </c>
      <c r="AX106" s="796"/>
      <c r="AY106" s="796"/>
      <c r="AZ106" s="796"/>
      <c r="BA106" s="927"/>
    </row>
    <row r="107" spans="1:53" ht="22.8">
      <c r="A107" s="809">
        <v>1</v>
      </c>
      <c r="B107" s="927" t="s">
        <v>1363</v>
      </c>
      <c r="C107" s="927"/>
      <c r="D107" s="927" t="s">
        <v>1602</v>
      </c>
      <c r="E107" s="927"/>
      <c r="F107" s="927"/>
      <c r="G107" s="927"/>
      <c r="H107" s="927"/>
      <c r="I107" s="927"/>
      <c r="J107" s="927"/>
      <c r="K107" s="927"/>
      <c r="L107" s="953" t="s">
        <v>379</v>
      </c>
      <c r="M107" s="954" t="s">
        <v>640</v>
      </c>
      <c r="N107" s="955" t="s">
        <v>352</v>
      </c>
      <c r="O107" s="811"/>
      <c r="P107" s="811"/>
      <c r="Q107" s="811"/>
      <c r="R107" s="961">
        <v>0</v>
      </c>
      <c r="S107" s="811"/>
      <c r="T107" s="811"/>
      <c r="U107" s="811"/>
      <c r="V107" s="811"/>
      <c r="W107" s="811"/>
      <c r="X107" s="811"/>
      <c r="Y107" s="811"/>
      <c r="Z107" s="811"/>
      <c r="AA107" s="811"/>
      <c r="AB107" s="811"/>
      <c r="AC107" s="811"/>
      <c r="AD107" s="811"/>
      <c r="AE107" s="811"/>
      <c r="AF107" s="811"/>
      <c r="AG107" s="811"/>
      <c r="AH107" s="811"/>
      <c r="AI107" s="811"/>
      <c r="AJ107" s="811"/>
      <c r="AK107" s="811"/>
      <c r="AL107" s="811"/>
      <c r="AM107" s="811"/>
      <c r="AN107" s="961">
        <v>0</v>
      </c>
      <c r="AO107" s="961">
        <v>0</v>
      </c>
      <c r="AP107" s="961">
        <v>0</v>
      </c>
      <c r="AQ107" s="961">
        <v>0</v>
      </c>
      <c r="AR107" s="961">
        <v>0</v>
      </c>
      <c r="AS107" s="961">
        <v>0</v>
      </c>
      <c r="AT107" s="961">
        <v>0</v>
      </c>
      <c r="AU107" s="961">
        <v>0</v>
      </c>
      <c r="AV107" s="961">
        <v>0</v>
      </c>
      <c r="AW107" s="961">
        <v>0</v>
      </c>
      <c r="AX107" s="796"/>
      <c r="AY107" s="796"/>
      <c r="AZ107" s="796"/>
      <c r="BA107" s="927"/>
    </row>
    <row r="108" spans="1:53" ht="11.4">
      <c r="A108" s="809">
        <v>1</v>
      </c>
      <c r="B108" s="927" t="s">
        <v>641</v>
      </c>
      <c r="C108" s="927"/>
      <c r="D108" s="927" t="s">
        <v>1448</v>
      </c>
      <c r="E108" s="927"/>
      <c r="F108" s="927"/>
      <c r="G108" s="927"/>
      <c r="H108" s="927"/>
      <c r="I108" s="927"/>
      <c r="J108" s="927"/>
      <c r="K108" s="927"/>
      <c r="L108" s="953" t="s">
        <v>124</v>
      </c>
      <c r="M108" s="976" t="s">
        <v>641</v>
      </c>
      <c r="N108" s="955" t="s">
        <v>352</v>
      </c>
      <c r="O108" s="811"/>
      <c r="P108" s="811"/>
      <c r="Q108" s="811"/>
      <c r="R108" s="961">
        <v>0</v>
      </c>
      <c r="S108" s="811"/>
      <c r="T108" s="811"/>
      <c r="U108" s="811"/>
      <c r="V108" s="811"/>
      <c r="W108" s="811"/>
      <c r="X108" s="811"/>
      <c r="Y108" s="811"/>
      <c r="Z108" s="811"/>
      <c r="AA108" s="811"/>
      <c r="AB108" s="811"/>
      <c r="AC108" s="811"/>
      <c r="AD108" s="811"/>
      <c r="AE108" s="811"/>
      <c r="AF108" s="811"/>
      <c r="AG108" s="811"/>
      <c r="AH108" s="811"/>
      <c r="AI108" s="811"/>
      <c r="AJ108" s="811"/>
      <c r="AK108" s="811"/>
      <c r="AL108" s="811"/>
      <c r="AM108" s="811"/>
      <c r="AN108" s="961">
        <v>0</v>
      </c>
      <c r="AO108" s="961">
        <v>0</v>
      </c>
      <c r="AP108" s="961">
        <v>0</v>
      </c>
      <c r="AQ108" s="961">
        <v>0</v>
      </c>
      <c r="AR108" s="961">
        <v>0</v>
      </c>
      <c r="AS108" s="961">
        <v>0</v>
      </c>
      <c r="AT108" s="961">
        <v>0</v>
      </c>
      <c r="AU108" s="961">
        <v>0</v>
      </c>
      <c r="AV108" s="961">
        <v>0</v>
      </c>
      <c r="AW108" s="961">
        <v>0</v>
      </c>
      <c r="AX108" s="796"/>
      <c r="AY108" s="796"/>
      <c r="AZ108" s="796"/>
      <c r="BA108" s="927"/>
    </row>
    <row r="109" spans="1:53" s="109" customFormat="1" ht="11.4">
      <c r="A109" s="809">
        <v>1</v>
      </c>
      <c r="B109" s="927" t="s">
        <v>1460</v>
      </c>
      <c r="C109" s="927"/>
      <c r="D109" s="927" t="s">
        <v>1463</v>
      </c>
      <c r="E109" s="968"/>
      <c r="F109" s="968"/>
      <c r="G109" s="968"/>
      <c r="H109" s="968"/>
      <c r="I109" s="968"/>
      <c r="J109" s="968"/>
      <c r="K109" s="968"/>
      <c r="L109" s="969" t="s">
        <v>125</v>
      </c>
      <c r="M109" s="977" t="s">
        <v>1462</v>
      </c>
      <c r="N109" s="971" t="s">
        <v>352</v>
      </c>
      <c r="O109" s="949">
        <v>-25.06</v>
      </c>
      <c r="P109" s="949"/>
      <c r="Q109" s="949">
        <v>-25.06</v>
      </c>
      <c r="R109" s="950">
        <v>-25.06</v>
      </c>
      <c r="S109" s="949">
        <v>225.95</v>
      </c>
      <c r="T109" s="811">
        <v>0</v>
      </c>
      <c r="U109" s="949"/>
      <c r="V109" s="949"/>
      <c r="W109" s="949"/>
      <c r="X109" s="949"/>
      <c r="Y109" s="949"/>
      <c r="Z109" s="949"/>
      <c r="AA109" s="949"/>
      <c r="AB109" s="949"/>
      <c r="AC109" s="949"/>
      <c r="AD109" s="811">
        <v>-201.42088074781554</v>
      </c>
      <c r="AE109" s="949"/>
      <c r="AF109" s="949"/>
      <c r="AG109" s="949"/>
      <c r="AH109" s="949"/>
      <c r="AI109" s="949"/>
      <c r="AJ109" s="949"/>
      <c r="AK109" s="949"/>
      <c r="AL109" s="949"/>
      <c r="AM109" s="949"/>
      <c r="AN109" s="950">
        <v>-189.14400564187454</v>
      </c>
      <c r="AO109" s="950">
        <v>-100</v>
      </c>
      <c r="AP109" s="950">
        <v>0</v>
      </c>
      <c r="AQ109" s="950">
        <v>0</v>
      </c>
      <c r="AR109" s="950">
        <v>0</v>
      </c>
      <c r="AS109" s="950">
        <v>0</v>
      </c>
      <c r="AT109" s="950">
        <v>0</v>
      </c>
      <c r="AU109" s="950">
        <v>0</v>
      </c>
      <c r="AV109" s="950">
        <v>0</v>
      </c>
      <c r="AW109" s="950">
        <v>0</v>
      </c>
      <c r="AX109" s="959"/>
      <c r="AY109" s="959"/>
      <c r="AZ109" s="959"/>
      <c r="BA109" s="968"/>
    </row>
    <row r="110" spans="1:53" ht="11.4">
      <c r="A110" s="809">
        <v>1</v>
      </c>
      <c r="B110" s="927"/>
      <c r="C110" s="927"/>
      <c r="D110" s="927"/>
      <c r="E110" s="927"/>
      <c r="F110" s="927"/>
      <c r="G110" s="927"/>
      <c r="H110" s="927"/>
      <c r="I110" s="927"/>
      <c r="J110" s="927"/>
      <c r="K110" s="927"/>
      <c r="L110" s="953"/>
      <c r="M110" s="976" t="s">
        <v>1464</v>
      </c>
      <c r="N110" s="955"/>
      <c r="O110" s="961"/>
      <c r="P110" s="961"/>
      <c r="Q110" s="961"/>
      <c r="R110" s="961"/>
      <c r="S110" s="961"/>
      <c r="T110" s="961"/>
      <c r="U110" s="961"/>
      <c r="V110" s="961"/>
      <c r="W110" s="961"/>
      <c r="X110" s="961"/>
      <c r="Y110" s="961"/>
      <c r="Z110" s="961"/>
      <c r="AA110" s="961"/>
      <c r="AB110" s="961"/>
      <c r="AC110" s="961"/>
      <c r="AD110" s="961"/>
      <c r="AE110" s="961"/>
      <c r="AF110" s="961"/>
      <c r="AG110" s="961"/>
      <c r="AH110" s="961"/>
      <c r="AI110" s="961"/>
      <c r="AJ110" s="961"/>
      <c r="AK110" s="961"/>
      <c r="AL110" s="961"/>
      <c r="AM110" s="961"/>
      <c r="AN110" s="961"/>
      <c r="AO110" s="961"/>
      <c r="AP110" s="961"/>
      <c r="AQ110" s="961"/>
      <c r="AR110" s="961"/>
      <c r="AS110" s="961"/>
      <c r="AT110" s="961"/>
      <c r="AU110" s="961"/>
      <c r="AV110" s="961"/>
      <c r="AW110" s="961"/>
      <c r="AX110" s="972"/>
      <c r="AY110" s="972"/>
      <c r="AZ110" s="972"/>
      <c r="BA110" s="927"/>
    </row>
    <row r="111" spans="1:53" ht="22.8">
      <c r="A111" s="809">
        <v>1</v>
      </c>
      <c r="B111" s="927" t="s">
        <v>1442</v>
      </c>
      <c r="C111" s="927"/>
      <c r="D111" s="927" t="s">
        <v>1450</v>
      </c>
      <c r="E111" s="927"/>
      <c r="F111" s="927"/>
      <c r="G111" s="927"/>
      <c r="H111" s="927"/>
      <c r="I111" s="927"/>
      <c r="J111" s="927"/>
      <c r="K111" s="927"/>
      <c r="L111" s="953" t="s">
        <v>181</v>
      </c>
      <c r="M111" s="954" t="s">
        <v>642</v>
      </c>
      <c r="N111" s="955" t="s">
        <v>352</v>
      </c>
      <c r="O111" s="811"/>
      <c r="P111" s="811"/>
      <c r="Q111" s="811"/>
      <c r="R111" s="961">
        <v>0</v>
      </c>
      <c r="S111" s="811"/>
      <c r="T111" s="811">
        <v>0</v>
      </c>
      <c r="U111" s="811"/>
      <c r="V111" s="811"/>
      <c r="W111" s="811"/>
      <c r="X111" s="811"/>
      <c r="Y111" s="811"/>
      <c r="Z111" s="811"/>
      <c r="AA111" s="811"/>
      <c r="AB111" s="811"/>
      <c r="AC111" s="811"/>
      <c r="AD111" s="811">
        <v>0</v>
      </c>
      <c r="AE111" s="811"/>
      <c r="AF111" s="811"/>
      <c r="AG111" s="811"/>
      <c r="AH111" s="811"/>
      <c r="AI111" s="811"/>
      <c r="AJ111" s="811"/>
      <c r="AK111" s="811"/>
      <c r="AL111" s="811"/>
      <c r="AM111" s="811"/>
      <c r="AN111" s="961"/>
      <c r="AO111" s="961"/>
      <c r="AP111" s="961"/>
      <c r="AQ111" s="961"/>
      <c r="AR111" s="961"/>
      <c r="AS111" s="961"/>
      <c r="AT111" s="961"/>
      <c r="AU111" s="961"/>
      <c r="AV111" s="961"/>
      <c r="AW111" s="961"/>
      <c r="AX111" s="796"/>
      <c r="AY111" s="796"/>
      <c r="AZ111" s="796"/>
      <c r="BA111" s="927"/>
    </row>
    <row r="112" spans="1:53" ht="114">
      <c r="A112" s="809">
        <v>1</v>
      </c>
      <c r="B112" s="927" t="s">
        <v>1444</v>
      </c>
      <c r="C112" s="927"/>
      <c r="D112" s="927" t="s">
        <v>1452</v>
      </c>
      <c r="E112" s="927"/>
      <c r="F112" s="927"/>
      <c r="G112" s="927"/>
      <c r="H112" s="927"/>
      <c r="I112" s="927"/>
      <c r="J112" s="927"/>
      <c r="K112" s="927"/>
      <c r="L112" s="953" t="s">
        <v>182</v>
      </c>
      <c r="M112" s="954" t="s">
        <v>643</v>
      </c>
      <c r="N112" s="955" t="s">
        <v>352</v>
      </c>
      <c r="O112" s="811"/>
      <c r="P112" s="811"/>
      <c r="Q112" s="811"/>
      <c r="R112" s="961">
        <v>0</v>
      </c>
      <c r="S112" s="811"/>
      <c r="T112" s="811">
        <v>0</v>
      </c>
      <c r="U112" s="811"/>
      <c r="V112" s="811"/>
      <c r="W112" s="811"/>
      <c r="X112" s="811"/>
      <c r="Y112" s="811"/>
      <c r="Z112" s="811"/>
      <c r="AA112" s="811"/>
      <c r="AB112" s="811"/>
      <c r="AC112" s="811"/>
      <c r="AD112" s="811">
        <v>0</v>
      </c>
      <c r="AE112" s="811"/>
      <c r="AF112" s="811"/>
      <c r="AG112" s="811"/>
      <c r="AH112" s="811"/>
      <c r="AI112" s="811"/>
      <c r="AJ112" s="811"/>
      <c r="AK112" s="811"/>
      <c r="AL112" s="811"/>
      <c r="AM112" s="811"/>
      <c r="AN112" s="961"/>
      <c r="AO112" s="961"/>
      <c r="AP112" s="961"/>
      <c r="AQ112" s="961"/>
      <c r="AR112" s="961"/>
      <c r="AS112" s="961"/>
      <c r="AT112" s="961"/>
      <c r="AU112" s="961"/>
      <c r="AV112" s="961"/>
      <c r="AW112" s="961"/>
      <c r="AX112" s="796"/>
      <c r="AY112" s="796"/>
      <c r="AZ112" s="796"/>
      <c r="BA112" s="927"/>
    </row>
    <row r="113" spans="1:53" ht="45.6">
      <c r="A113" s="809">
        <v>1</v>
      </c>
      <c r="B113" s="927"/>
      <c r="C113" s="927"/>
      <c r="D113" s="927" t="s">
        <v>1456</v>
      </c>
      <c r="E113" s="927"/>
      <c r="F113" s="927"/>
      <c r="G113" s="927"/>
      <c r="H113" s="927"/>
      <c r="I113" s="927"/>
      <c r="J113" s="927"/>
      <c r="K113" s="927"/>
      <c r="L113" s="953" t="s">
        <v>386</v>
      </c>
      <c r="M113" s="954" t="s">
        <v>1195</v>
      </c>
      <c r="N113" s="955" t="s">
        <v>352</v>
      </c>
      <c r="O113" s="811">
        <v>-25.06</v>
      </c>
      <c r="P113" s="811"/>
      <c r="Q113" s="811">
        <v>-25.06</v>
      </c>
      <c r="R113" s="961">
        <v>-25.06</v>
      </c>
      <c r="S113" s="811">
        <v>225.95</v>
      </c>
      <c r="T113" s="811">
        <v>0</v>
      </c>
      <c r="U113" s="811"/>
      <c r="V113" s="811"/>
      <c r="W113" s="811"/>
      <c r="X113" s="811"/>
      <c r="Y113" s="811"/>
      <c r="Z113" s="811"/>
      <c r="AA113" s="811"/>
      <c r="AB113" s="811"/>
      <c r="AC113" s="811"/>
      <c r="AD113" s="811">
        <v>-201.42088074781554</v>
      </c>
      <c r="AE113" s="811"/>
      <c r="AF113" s="811"/>
      <c r="AG113" s="811"/>
      <c r="AH113" s="811"/>
      <c r="AI113" s="811"/>
      <c r="AJ113" s="811"/>
      <c r="AK113" s="811"/>
      <c r="AL113" s="811"/>
      <c r="AM113" s="811"/>
      <c r="AN113" s="961"/>
      <c r="AO113" s="961"/>
      <c r="AP113" s="961"/>
      <c r="AQ113" s="961"/>
      <c r="AR113" s="961"/>
      <c r="AS113" s="961"/>
      <c r="AT113" s="961"/>
      <c r="AU113" s="961"/>
      <c r="AV113" s="961"/>
      <c r="AW113" s="961"/>
      <c r="AX113" s="796"/>
      <c r="AY113" s="796"/>
      <c r="AZ113" s="796"/>
      <c r="BA113" s="927"/>
    </row>
    <row r="114" spans="1:53" ht="91.2">
      <c r="A114" s="809">
        <v>1</v>
      </c>
      <c r="B114" s="927" t="s">
        <v>1446</v>
      </c>
      <c r="C114" s="933" t="b">
        <v>1</v>
      </c>
      <c r="D114" s="927" t="s">
        <v>1465</v>
      </c>
      <c r="E114" s="927"/>
      <c r="F114" s="927"/>
      <c r="G114" s="927"/>
      <c r="H114" s="927"/>
      <c r="I114" s="927"/>
      <c r="J114" s="927"/>
      <c r="K114" s="927"/>
      <c r="L114" s="953" t="s">
        <v>387</v>
      </c>
      <c r="M114" s="978" t="s">
        <v>1466</v>
      </c>
      <c r="N114" s="964" t="s">
        <v>352</v>
      </c>
      <c r="O114" s="811"/>
      <c r="P114" s="811"/>
      <c r="Q114" s="811"/>
      <c r="R114" s="961">
        <v>0</v>
      </c>
      <c r="S114" s="811"/>
      <c r="T114" s="811">
        <v>0</v>
      </c>
      <c r="U114" s="811"/>
      <c r="V114" s="811"/>
      <c r="W114" s="811"/>
      <c r="X114" s="811"/>
      <c r="Y114" s="811"/>
      <c r="Z114" s="811"/>
      <c r="AA114" s="811"/>
      <c r="AB114" s="811"/>
      <c r="AC114" s="811"/>
      <c r="AD114" s="811">
        <v>0</v>
      </c>
      <c r="AE114" s="811"/>
      <c r="AF114" s="811"/>
      <c r="AG114" s="811"/>
      <c r="AH114" s="811"/>
      <c r="AI114" s="811"/>
      <c r="AJ114" s="811"/>
      <c r="AK114" s="811"/>
      <c r="AL114" s="811"/>
      <c r="AM114" s="811"/>
      <c r="AN114" s="961"/>
      <c r="AO114" s="961"/>
      <c r="AP114" s="961"/>
      <c r="AQ114" s="961"/>
      <c r="AR114" s="961"/>
      <c r="AS114" s="961"/>
      <c r="AT114" s="961"/>
      <c r="AU114" s="961"/>
      <c r="AV114" s="961"/>
      <c r="AW114" s="961"/>
      <c r="AX114" s="796"/>
      <c r="AY114" s="796"/>
      <c r="AZ114" s="796"/>
      <c r="BA114" s="927"/>
    </row>
    <row r="115" spans="1:53" ht="57">
      <c r="A115" s="809">
        <v>1</v>
      </c>
      <c r="B115" s="927" t="s">
        <v>1448</v>
      </c>
      <c r="C115" s="933" t="b">
        <v>1</v>
      </c>
      <c r="D115" s="927" t="s">
        <v>1467</v>
      </c>
      <c r="E115" s="927"/>
      <c r="F115" s="927"/>
      <c r="G115" s="927"/>
      <c r="H115" s="927"/>
      <c r="I115" s="927"/>
      <c r="J115" s="927"/>
      <c r="K115" s="927"/>
      <c r="L115" s="953" t="s">
        <v>388</v>
      </c>
      <c r="M115" s="954" t="s">
        <v>1468</v>
      </c>
      <c r="N115" s="964" t="s">
        <v>352</v>
      </c>
      <c r="O115" s="811"/>
      <c r="P115" s="811"/>
      <c r="Q115" s="811"/>
      <c r="R115" s="961">
        <v>0</v>
      </c>
      <c r="S115" s="811"/>
      <c r="T115" s="811">
        <v>0</v>
      </c>
      <c r="U115" s="811"/>
      <c r="V115" s="811"/>
      <c r="W115" s="811"/>
      <c r="X115" s="811"/>
      <c r="Y115" s="811"/>
      <c r="Z115" s="811"/>
      <c r="AA115" s="811"/>
      <c r="AB115" s="811"/>
      <c r="AC115" s="811"/>
      <c r="AD115" s="811">
        <v>0</v>
      </c>
      <c r="AE115" s="811"/>
      <c r="AF115" s="811"/>
      <c r="AG115" s="811"/>
      <c r="AH115" s="811"/>
      <c r="AI115" s="811"/>
      <c r="AJ115" s="811"/>
      <c r="AK115" s="811"/>
      <c r="AL115" s="811"/>
      <c r="AM115" s="811"/>
      <c r="AN115" s="961"/>
      <c r="AO115" s="961"/>
      <c r="AP115" s="961"/>
      <c r="AQ115" s="961"/>
      <c r="AR115" s="961"/>
      <c r="AS115" s="961"/>
      <c r="AT115" s="961"/>
      <c r="AU115" s="961"/>
      <c r="AV115" s="961"/>
      <c r="AW115" s="961"/>
      <c r="AX115" s="796"/>
      <c r="AY115" s="796"/>
      <c r="AZ115" s="796"/>
      <c r="BA115" s="927"/>
    </row>
    <row r="116" spans="1:53" ht="11.4">
      <c r="A116" s="809">
        <v>1</v>
      </c>
      <c r="B116" s="927" t="s">
        <v>1450</v>
      </c>
      <c r="C116" s="927"/>
      <c r="D116" s="927" t="s">
        <v>1469</v>
      </c>
      <c r="E116" s="927"/>
      <c r="F116" s="927"/>
      <c r="G116" s="927"/>
      <c r="H116" s="927"/>
      <c r="I116" s="927"/>
      <c r="J116" s="927"/>
      <c r="K116" s="927"/>
      <c r="L116" s="953" t="s">
        <v>1470</v>
      </c>
      <c r="M116" s="954" t="s">
        <v>647</v>
      </c>
      <c r="N116" s="955" t="s">
        <v>352</v>
      </c>
      <c r="O116" s="811"/>
      <c r="P116" s="811"/>
      <c r="Q116" s="811"/>
      <c r="R116" s="961">
        <v>0</v>
      </c>
      <c r="S116" s="811"/>
      <c r="T116" s="811">
        <v>0</v>
      </c>
      <c r="U116" s="811"/>
      <c r="V116" s="811"/>
      <c r="W116" s="811"/>
      <c r="X116" s="811"/>
      <c r="Y116" s="811"/>
      <c r="Z116" s="811"/>
      <c r="AA116" s="811"/>
      <c r="AB116" s="811"/>
      <c r="AC116" s="811"/>
      <c r="AD116" s="811">
        <v>0</v>
      </c>
      <c r="AE116" s="811"/>
      <c r="AF116" s="811"/>
      <c r="AG116" s="811"/>
      <c r="AH116" s="811"/>
      <c r="AI116" s="811"/>
      <c r="AJ116" s="811"/>
      <c r="AK116" s="811"/>
      <c r="AL116" s="811"/>
      <c r="AM116" s="811"/>
      <c r="AN116" s="961"/>
      <c r="AO116" s="961"/>
      <c r="AP116" s="961"/>
      <c r="AQ116" s="961"/>
      <c r="AR116" s="961"/>
      <c r="AS116" s="961"/>
      <c r="AT116" s="961"/>
      <c r="AU116" s="961"/>
      <c r="AV116" s="961"/>
      <c r="AW116" s="961"/>
      <c r="AX116" s="796"/>
      <c r="AY116" s="796"/>
      <c r="AZ116" s="796"/>
      <c r="BA116" s="927"/>
    </row>
    <row r="117" spans="1:53" ht="11.4">
      <c r="A117" s="809">
        <v>1</v>
      </c>
      <c r="B117" s="927" t="s">
        <v>1452</v>
      </c>
      <c r="C117" s="927"/>
      <c r="D117" s="927" t="s">
        <v>1471</v>
      </c>
      <c r="E117" s="927"/>
      <c r="F117" s="927"/>
      <c r="G117" s="927"/>
      <c r="H117" s="927"/>
      <c r="I117" s="927"/>
      <c r="J117" s="927"/>
      <c r="K117" s="927"/>
      <c r="L117" s="953" t="s">
        <v>1472</v>
      </c>
      <c r="M117" s="954" t="s">
        <v>648</v>
      </c>
      <c r="N117" s="955" t="s">
        <v>352</v>
      </c>
      <c r="O117" s="811">
        <v>0</v>
      </c>
      <c r="P117" s="811">
        <v>0</v>
      </c>
      <c r="Q117" s="811">
        <v>0</v>
      </c>
      <c r="R117" s="961">
        <v>0</v>
      </c>
      <c r="S117" s="811">
        <v>0</v>
      </c>
      <c r="T117" s="811">
        <v>0</v>
      </c>
      <c r="U117" s="811">
        <v>0</v>
      </c>
      <c r="V117" s="811">
        <v>0</v>
      </c>
      <c r="W117" s="811">
        <v>0</v>
      </c>
      <c r="X117" s="811">
        <v>0</v>
      </c>
      <c r="Y117" s="811">
        <v>0</v>
      </c>
      <c r="Z117" s="811">
        <v>0</v>
      </c>
      <c r="AA117" s="811">
        <v>0</v>
      </c>
      <c r="AB117" s="811">
        <v>0</v>
      </c>
      <c r="AC117" s="811">
        <v>0</v>
      </c>
      <c r="AD117" s="811">
        <v>0</v>
      </c>
      <c r="AE117" s="811">
        <v>0</v>
      </c>
      <c r="AF117" s="811">
        <v>0</v>
      </c>
      <c r="AG117" s="811">
        <v>0</v>
      </c>
      <c r="AH117" s="811">
        <v>0</v>
      </c>
      <c r="AI117" s="811">
        <v>0</v>
      </c>
      <c r="AJ117" s="811">
        <v>0</v>
      </c>
      <c r="AK117" s="811">
        <v>0</v>
      </c>
      <c r="AL117" s="811">
        <v>0</v>
      </c>
      <c r="AM117" s="811">
        <v>0</v>
      </c>
      <c r="AN117" s="961">
        <v>0</v>
      </c>
      <c r="AO117" s="961">
        <v>0</v>
      </c>
      <c r="AP117" s="961">
        <v>0</v>
      </c>
      <c r="AQ117" s="961">
        <v>0</v>
      </c>
      <c r="AR117" s="961">
        <v>0</v>
      </c>
      <c r="AS117" s="961">
        <v>0</v>
      </c>
      <c r="AT117" s="961">
        <v>0</v>
      </c>
      <c r="AU117" s="961">
        <v>0</v>
      </c>
      <c r="AV117" s="961">
        <v>0</v>
      </c>
      <c r="AW117" s="961">
        <v>0</v>
      </c>
      <c r="AX117" s="796"/>
      <c r="AY117" s="796"/>
      <c r="AZ117" s="796"/>
      <c r="BA117" s="927"/>
    </row>
    <row r="118" spans="1:53" ht="22.8">
      <c r="A118" s="809">
        <v>1</v>
      </c>
      <c r="B118" s="927" t="s">
        <v>1454</v>
      </c>
      <c r="C118" s="927"/>
      <c r="D118" s="927" t="s">
        <v>1473</v>
      </c>
      <c r="E118" s="927"/>
      <c r="F118" s="927"/>
      <c r="G118" s="927"/>
      <c r="H118" s="927"/>
      <c r="I118" s="927"/>
      <c r="J118" s="927"/>
      <c r="K118" s="927"/>
      <c r="L118" s="953" t="s">
        <v>1474</v>
      </c>
      <c r="M118" s="967" t="s">
        <v>649</v>
      </c>
      <c r="N118" s="955" t="s">
        <v>352</v>
      </c>
      <c r="O118" s="811"/>
      <c r="P118" s="811"/>
      <c r="Q118" s="811"/>
      <c r="R118" s="961">
        <v>0</v>
      </c>
      <c r="S118" s="811"/>
      <c r="T118" s="811">
        <v>0</v>
      </c>
      <c r="U118" s="811"/>
      <c r="V118" s="811"/>
      <c r="W118" s="811"/>
      <c r="X118" s="811"/>
      <c r="Y118" s="811"/>
      <c r="Z118" s="811"/>
      <c r="AA118" s="811"/>
      <c r="AB118" s="811"/>
      <c r="AC118" s="811"/>
      <c r="AD118" s="811">
        <v>0</v>
      </c>
      <c r="AE118" s="811"/>
      <c r="AF118" s="811"/>
      <c r="AG118" s="811"/>
      <c r="AH118" s="811"/>
      <c r="AI118" s="811"/>
      <c r="AJ118" s="811"/>
      <c r="AK118" s="811"/>
      <c r="AL118" s="811"/>
      <c r="AM118" s="811"/>
      <c r="AN118" s="961"/>
      <c r="AO118" s="961"/>
      <c r="AP118" s="961"/>
      <c r="AQ118" s="961"/>
      <c r="AR118" s="961"/>
      <c r="AS118" s="961"/>
      <c r="AT118" s="961"/>
      <c r="AU118" s="961"/>
      <c r="AV118" s="961"/>
      <c r="AW118" s="961"/>
      <c r="AX118" s="796"/>
      <c r="AY118" s="796"/>
      <c r="AZ118" s="796"/>
      <c r="BA118" s="927"/>
    </row>
    <row r="119" spans="1:53" ht="22.8">
      <c r="A119" s="809">
        <v>1</v>
      </c>
      <c r="B119" s="927" t="s">
        <v>1455</v>
      </c>
      <c r="C119" s="927"/>
      <c r="D119" s="927" t="s">
        <v>1475</v>
      </c>
      <c r="E119" s="927"/>
      <c r="F119" s="927"/>
      <c r="G119" s="927"/>
      <c r="H119" s="927"/>
      <c r="I119" s="927"/>
      <c r="J119" s="927"/>
      <c r="K119" s="927"/>
      <c r="L119" s="953" t="s">
        <v>1476</v>
      </c>
      <c r="M119" s="960" t="s">
        <v>650</v>
      </c>
      <c r="N119" s="955" t="s">
        <v>352</v>
      </c>
      <c r="O119" s="811"/>
      <c r="P119" s="811"/>
      <c r="Q119" s="811"/>
      <c r="R119" s="961">
        <v>0</v>
      </c>
      <c r="S119" s="811"/>
      <c r="T119" s="811">
        <v>0</v>
      </c>
      <c r="U119" s="811"/>
      <c r="V119" s="811"/>
      <c r="W119" s="811"/>
      <c r="X119" s="811"/>
      <c r="Y119" s="811"/>
      <c r="Z119" s="811"/>
      <c r="AA119" s="811"/>
      <c r="AB119" s="811"/>
      <c r="AC119" s="811"/>
      <c r="AD119" s="811">
        <v>0</v>
      </c>
      <c r="AE119" s="811"/>
      <c r="AF119" s="811"/>
      <c r="AG119" s="811"/>
      <c r="AH119" s="811"/>
      <c r="AI119" s="811"/>
      <c r="AJ119" s="811"/>
      <c r="AK119" s="811"/>
      <c r="AL119" s="811"/>
      <c r="AM119" s="811"/>
      <c r="AN119" s="961"/>
      <c r="AO119" s="961"/>
      <c r="AP119" s="961"/>
      <c r="AQ119" s="961"/>
      <c r="AR119" s="961"/>
      <c r="AS119" s="961"/>
      <c r="AT119" s="961"/>
      <c r="AU119" s="961"/>
      <c r="AV119" s="961"/>
      <c r="AW119" s="961"/>
      <c r="AX119" s="796"/>
      <c r="AY119" s="796"/>
      <c r="AZ119" s="796"/>
      <c r="BA119" s="927"/>
    </row>
    <row r="120" spans="1:53" ht="11.4">
      <c r="A120" s="809">
        <v>1</v>
      </c>
      <c r="B120" s="927" t="s">
        <v>1456</v>
      </c>
      <c r="C120" s="927"/>
      <c r="D120" s="927" t="s">
        <v>1477</v>
      </c>
      <c r="E120" s="927"/>
      <c r="F120" s="927"/>
      <c r="G120" s="927"/>
      <c r="H120" s="927"/>
      <c r="I120" s="927"/>
      <c r="J120" s="927"/>
      <c r="K120" s="927"/>
      <c r="L120" s="953" t="s">
        <v>1478</v>
      </c>
      <c r="M120" s="954" t="s">
        <v>651</v>
      </c>
      <c r="N120" s="955" t="s">
        <v>352</v>
      </c>
      <c r="O120" s="811"/>
      <c r="P120" s="811"/>
      <c r="Q120" s="811"/>
      <c r="R120" s="961">
        <v>0</v>
      </c>
      <c r="S120" s="811"/>
      <c r="T120" s="811">
        <v>0</v>
      </c>
      <c r="U120" s="811"/>
      <c r="V120" s="811"/>
      <c r="W120" s="811"/>
      <c r="X120" s="811"/>
      <c r="Y120" s="811"/>
      <c r="Z120" s="811"/>
      <c r="AA120" s="811"/>
      <c r="AB120" s="811"/>
      <c r="AC120" s="811"/>
      <c r="AD120" s="811">
        <v>0</v>
      </c>
      <c r="AE120" s="811"/>
      <c r="AF120" s="811"/>
      <c r="AG120" s="811"/>
      <c r="AH120" s="811"/>
      <c r="AI120" s="811"/>
      <c r="AJ120" s="811"/>
      <c r="AK120" s="811"/>
      <c r="AL120" s="811"/>
      <c r="AM120" s="811"/>
      <c r="AN120" s="961"/>
      <c r="AO120" s="961"/>
      <c r="AP120" s="961"/>
      <c r="AQ120" s="961"/>
      <c r="AR120" s="961"/>
      <c r="AS120" s="961"/>
      <c r="AT120" s="961"/>
      <c r="AU120" s="961"/>
      <c r="AV120" s="961"/>
      <c r="AW120" s="961"/>
      <c r="AX120" s="796"/>
      <c r="AY120" s="796"/>
      <c r="AZ120" s="796"/>
      <c r="BA120" s="927"/>
    </row>
    <row r="121" spans="1:53" ht="11.4">
      <c r="A121" s="809">
        <v>1</v>
      </c>
      <c r="B121" s="927" t="s">
        <v>1458</v>
      </c>
      <c r="C121" s="927"/>
      <c r="D121" s="927" t="s">
        <v>1479</v>
      </c>
      <c r="E121" s="927"/>
      <c r="F121" s="927"/>
      <c r="G121" s="927"/>
      <c r="H121" s="927"/>
      <c r="I121" s="927"/>
      <c r="J121" s="927"/>
      <c r="K121" s="927"/>
      <c r="L121" s="953" t="s">
        <v>1480</v>
      </c>
      <c r="M121" s="954" t="s">
        <v>652</v>
      </c>
      <c r="N121" s="955" t="s">
        <v>352</v>
      </c>
      <c r="O121" s="811"/>
      <c r="P121" s="811"/>
      <c r="Q121" s="811"/>
      <c r="R121" s="961">
        <v>0</v>
      </c>
      <c r="S121" s="811"/>
      <c r="T121" s="811">
        <v>0</v>
      </c>
      <c r="U121" s="811"/>
      <c r="V121" s="811"/>
      <c r="W121" s="811"/>
      <c r="X121" s="811"/>
      <c r="Y121" s="811"/>
      <c r="Z121" s="811"/>
      <c r="AA121" s="811"/>
      <c r="AB121" s="811"/>
      <c r="AC121" s="811"/>
      <c r="AD121" s="811">
        <v>0</v>
      </c>
      <c r="AE121" s="811"/>
      <c r="AF121" s="811"/>
      <c r="AG121" s="811"/>
      <c r="AH121" s="811"/>
      <c r="AI121" s="811"/>
      <c r="AJ121" s="811"/>
      <c r="AK121" s="811"/>
      <c r="AL121" s="811"/>
      <c r="AM121" s="811"/>
      <c r="AN121" s="961"/>
      <c r="AO121" s="961"/>
      <c r="AP121" s="961"/>
      <c r="AQ121" s="961"/>
      <c r="AR121" s="961"/>
      <c r="AS121" s="961"/>
      <c r="AT121" s="961"/>
      <c r="AU121" s="961"/>
      <c r="AV121" s="961"/>
      <c r="AW121" s="961"/>
      <c r="AX121" s="796"/>
      <c r="AY121" s="796"/>
      <c r="AZ121" s="796"/>
      <c r="BA121" s="927"/>
    </row>
    <row r="122" spans="1:53" s="109" customFormat="1" ht="11.4">
      <c r="A122" s="809">
        <v>1</v>
      </c>
      <c r="B122" s="968"/>
      <c r="C122" s="968"/>
      <c r="D122" s="968" t="s">
        <v>1458</v>
      </c>
      <c r="E122" s="968"/>
      <c r="F122" s="968"/>
      <c r="G122" s="968"/>
      <c r="H122" s="968"/>
      <c r="I122" s="968"/>
      <c r="J122" s="968"/>
      <c r="K122" s="968"/>
      <c r="L122" s="969" t="s">
        <v>126</v>
      </c>
      <c r="M122" s="975" t="s">
        <v>644</v>
      </c>
      <c r="N122" s="971" t="s">
        <v>352</v>
      </c>
      <c r="O122" s="949"/>
      <c r="P122" s="949"/>
      <c r="Q122" s="949"/>
      <c r="R122" s="950">
        <v>0</v>
      </c>
      <c r="S122" s="949">
        <v>-382.37</v>
      </c>
      <c r="T122" s="949"/>
      <c r="U122" s="949"/>
      <c r="V122" s="949"/>
      <c r="W122" s="949"/>
      <c r="X122" s="949"/>
      <c r="Y122" s="949"/>
      <c r="Z122" s="949"/>
      <c r="AA122" s="949"/>
      <c r="AB122" s="949"/>
      <c r="AC122" s="949"/>
      <c r="AD122" s="949">
        <v>382.37</v>
      </c>
      <c r="AE122" s="949"/>
      <c r="AF122" s="949"/>
      <c r="AG122" s="949"/>
      <c r="AH122" s="949"/>
      <c r="AI122" s="949"/>
      <c r="AJ122" s="949"/>
      <c r="AK122" s="949"/>
      <c r="AL122" s="949"/>
      <c r="AM122" s="949"/>
      <c r="AN122" s="950"/>
      <c r="AO122" s="950"/>
      <c r="AP122" s="950"/>
      <c r="AQ122" s="950"/>
      <c r="AR122" s="950"/>
      <c r="AS122" s="950"/>
      <c r="AT122" s="950"/>
      <c r="AU122" s="950"/>
      <c r="AV122" s="950"/>
      <c r="AW122" s="950"/>
      <c r="AX122" s="959"/>
      <c r="AY122" s="959"/>
      <c r="AZ122" s="959"/>
      <c r="BA122" s="968"/>
    </row>
    <row r="123" spans="1:53" ht="11.4">
      <c r="A123" s="809">
        <v>1</v>
      </c>
      <c r="B123" s="927"/>
      <c r="C123" s="927"/>
      <c r="D123" s="927" t="s">
        <v>1481</v>
      </c>
      <c r="E123" s="927"/>
      <c r="F123" s="927"/>
      <c r="G123" s="927"/>
      <c r="H123" s="927"/>
      <c r="I123" s="927"/>
      <c r="J123" s="927"/>
      <c r="K123" s="927"/>
      <c r="L123" s="953" t="s">
        <v>141</v>
      </c>
      <c r="M123" s="954" t="s">
        <v>1205</v>
      </c>
      <c r="N123" s="955" t="s">
        <v>137</v>
      </c>
      <c r="O123" s="961">
        <v>0</v>
      </c>
      <c r="P123" s="961">
        <v>0</v>
      </c>
      <c r="Q123" s="961">
        <v>0</v>
      </c>
      <c r="R123" s="961">
        <v>0</v>
      </c>
      <c r="S123" s="961">
        <v>-17.817800559179869</v>
      </c>
      <c r="T123" s="961">
        <v>0</v>
      </c>
      <c r="U123" s="961">
        <v>0</v>
      </c>
      <c r="V123" s="961">
        <v>0</v>
      </c>
      <c r="W123" s="961">
        <v>0</v>
      </c>
      <c r="X123" s="961">
        <v>0</v>
      </c>
      <c r="Y123" s="961">
        <v>0</v>
      </c>
      <c r="Z123" s="961">
        <v>0</v>
      </c>
      <c r="AA123" s="961">
        <v>0</v>
      </c>
      <c r="AB123" s="961">
        <v>0</v>
      </c>
      <c r="AC123" s="961">
        <v>0</v>
      </c>
      <c r="AD123" s="961">
        <v>17.464203338738042</v>
      </c>
      <c r="AE123" s="961">
        <v>0</v>
      </c>
      <c r="AF123" s="961">
        <v>0</v>
      </c>
      <c r="AG123" s="961">
        <v>0</v>
      </c>
      <c r="AH123" s="961">
        <v>0</v>
      </c>
      <c r="AI123" s="961">
        <v>0</v>
      </c>
      <c r="AJ123" s="961">
        <v>0</v>
      </c>
      <c r="AK123" s="961">
        <v>0</v>
      </c>
      <c r="AL123" s="961">
        <v>0</v>
      </c>
      <c r="AM123" s="961">
        <v>0</v>
      </c>
      <c r="AN123" s="961"/>
      <c r="AO123" s="961"/>
      <c r="AP123" s="961"/>
      <c r="AQ123" s="961"/>
      <c r="AR123" s="961"/>
      <c r="AS123" s="961"/>
      <c r="AT123" s="961"/>
      <c r="AU123" s="961"/>
      <c r="AV123" s="961"/>
      <c r="AW123" s="961"/>
      <c r="AX123" s="796"/>
      <c r="AY123" s="796"/>
      <c r="AZ123" s="796"/>
      <c r="BA123" s="927"/>
    </row>
    <row r="124" spans="1:53" s="109" customFormat="1" ht="11.4">
      <c r="A124" s="809">
        <v>1</v>
      </c>
      <c r="B124" s="968"/>
      <c r="C124" s="927"/>
      <c r="D124" s="927" t="s">
        <v>1460</v>
      </c>
      <c r="E124" s="968"/>
      <c r="F124" s="968"/>
      <c r="G124" s="968"/>
      <c r="H124" s="968"/>
      <c r="I124" s="968"/>
      <c r="J124" s="968"/>
      <c r="K124" s="968"/>
      <c r="L124" s="969" t="s">
        <v>127</v>
      </c>
      <c r="M124" s="975" t="s">
        <v>645</v>
      </c>
      <c r="N124" s="948" t="s">
        <v>352</v>
      </c>
      <c r="O124" s="979">
        <v>1888.9399999999998</v>
      </c>
      <c r="P124" s="950">
        <v>9772.93</v>
      </c>
      <c r="Q124" s="950">
        <v>1885.64</v>
      </c>
      <c r="R124" s="950">
        <v>-7887.29</v>
      </c>
      <c r="S124" s="950">
        <v>2146</v>
      </c>
      <c r="T124" s="950">
        <v>5548.99</v>
      </c>
      <c r="U124" s="950">
        <v>5005.9799999999996</v>
      </c>
      <c r="V124" s="950">
        <v>5005.9799999999996</v>
      </c>
      <c r="W124" s="950">
        <v>5005.9799999999996</v>
      </c>
      <c r="X124" s="950">
        <v>5005.9799999999996</v>
      </c>
      <c r="Y124" s="950">
        <v>5005.9799999999996</v>
      </c>
      <c r="Z124" s="950">
        <v>5005.9799999999996</v>
      </c>
      <c r="AA124" s="950">
        <v>5005.9799999999996</v>
      </c>
      <c r="AB124" s="950">
        <v>5005.9799999999996</v>
      </c>
      <c r="AC124" s="950">
        <v>5005.9799999999996</v>
      </c>
      <c r="AD124" s="950">
        <v>2189.4499999999998</v>
      </c>
      <c r="AE124" s="950">
        <v>2083.77</v>
      </c>
      <c r="AF124" s="950">
        <v>2083.77</v>
      </c>
      <c r="AG124" s="950">
        <v>2083.77</v>
      </c>
      <c r="AH124" s="950">
        <v>2083.77</v>
      </c>
      <c r="AI124" s="950">
        <v>2083.77</v>
      </c>
      <c r="AJ124" s="950">
        <v>2083.77</v>
      </c>
      <c r="AK124" s="950">
        <v>2083.77</v>
      </c>
      <c r="AL124" s="950">
        <v>2083.77</v>
      </c>
      <c r="AM124" s="950">
        <v>2083.77</v>
      </c>
      <c r="AN124" s="950">
        <v>2.0246971109039991</v>
      </c>
      <c r="AO124" s="950">
        <v>-4.826782982027443</v>
      </c>
      <c r="AP124" s="950">
        <v>0</v>
      </c>
      <c r="AQ124" s="950">
        <v>0</v>
      </c>
      <c r="AR124" s="950">
        <v>0</v>
      </c>
      <c r="AS124" s="950">
        <v>0</v>
      </c>
      <c r="AT124" s="950">
        <v>0</v>
      </c>
      <c r="AU124" s="950">
        <v>0</v>
      </c>
      <c r="AV124" s="950">
        <v>0</v>
      </c>
      <c r="AW124" s="950">
        <v>0</v>
      </c>
      <c r="AX124" s="796"/>
      <c r="AY124" s="796"/>
      <c r="AZ124" s="796"/>
      <c r="BA124" s="968"/>
    </row>
    <row r="125" spans="1:53" s="109" customFormat="1" ht="11.4">
      <c r="A125" s="809">
        <v>1</v>
      </c>
      <c r="B125" s="968"/>
      <c r="C125" s="927"/>
      <c r="D125" s="927" t="s">
        <v>1482</v>
      </c>
      <c r="E125" s="968"/>
      <c r="F125" s="968"/>
      <c r="G125" s="968"/>
      <c r="H125" s="968"/>
      <c r="I125" s="968"/>
      <c r="J125" s="968"/>
      <c r="K125" s="968"/>
      <c r="L125" s="969" t="s">
        <v>128</v>
      </c>
      <c r="M125" s="975" t="s">
        <v>653</v>
      </c>
      <c r="N125" s="971" t="s">
        <v>352</v>
      </c>
      <c r="O125" s="979">
        <v>1863.8799999999999</v>
      </c>
      <c r="P125" s="950">
        <v>9772.93</v>
      </c>
      <c r="Q125" s="950">
        <v>1860.5800000000002</v>
      </c>
      <c r="R125" s="950">
        <v>-7912.35</v>
      </c>
      <c r="S125" s="950">
        <v>1989.58</v>
      </c>
      <c r="T125" s="950">
        <v>5548.99</v>
      </c>
      <c r="U125" s="950">
        <v>5005.9799999999996</v>
      </c>
      <c r="V125" s="950">
        <v>5005.9799999999996</v>
      </c>
      <c r="W125" s="950">
        <v>5005.9799999999996</v>
      </c>
      <c r="X125" s="950">
        <v>5005.9799999999996</v>
      </c>
      <c r="Y125" s="950">
        <v>5005.9799999999996</v>
      </c>
      <c r="Z125" s="950">
        <v>5005.9799999999996</v>
      </c>
      <c r="AA125" s="950">
        <v>5005.9799999999996</v>
      </c>
      <c r="AB125" s="950">
        <v>5005.9799999999996</v>
      </c>
      <c r="AC125" s="950">
        <v>5005.9799999999996</v>
      </c>
      <c r="AD125" s="950">
        <v>2370.3991192521844</v>
      </c>
      <c r="AE125" s="950">
        <v>2083.77</v>
      </c>
      <c r="AF125" s="950">
        <v>2083.77</v>
      </c>
      <c r="AG125" s="950">
        <v>2083.77</v>
      </c>
      <c r="AH125" s="950">
        <v>2083.77</v>
      </c>
      <c r="AI125" s="950">
        <v>2083.77</v>
      </c>
      <c r="AJ125" s="950">
        <v>2083.77</v>
      </c>
      <c r="AK125" s="950">
        <v>2083.77</v>
      </c>
      <c r="AL125" s="950">
        <v>2083.77</v>
      </c>
      <c r="AM125" s="950">
        <v>2083.77</v>
      </c>
      <c r="AN125" s="950">
        <v>19.140678899676537</v>
      </c>
      <c r="AO125" s="950">
        <v>-12.092019311187157</v>
      </c>
      <c r="AP125" s="950">
        <v>0</v>
      </c>
      <c r="AQ125" s="950">
        <v>0</v>
      </c>
      <c r="AR125" s="950">
        <v>0</v>
      </c>
      <c r="AS125" s="950">
        <v>0</v>
      </c>
      <c r="AT125" s="950">
        <v>0</v>
      </c>
      <c r="AU125" s="950">
        <v>0</v>
      </c>
      <c r="AV125" s="950">
        <v>0</v>
      </c>
      <c r="AW125" s="950">
        <v>0</v>
      </c>
      <c r="AX125" s="796"/>
      <c r="AY125" s="796"/>
      <c r="AZ125" s="796"/>
      <c r="BA125" s="968"/>
    </row>
    <row r="126" spans="1:53" ht="14.4">
      <c r="A126" s="809">
        <v>1</v>
      </c>
      <c r="B126" s="927"/>
      <c r="C126" s="933" t="b">
        <v>0</v>
      </c>
      <c r="D126" s="980" t="s">
        <v>1483</v>
      </c>
      <c r="E126" s="927"/>
      <c r="F126" s="927"/>
      <c r="G126" s="927"/>
      <c r="H126" s="927"/>
      <c r="I126" s="927"/>
      <c r="J126" s="927"/>
      <c r="K126" s="927"/>
      <c r="L126" s="953" t="s">
        <v>1204</v>
      </c>
      <c r="M126" s="954" t="s">
        <v>1301</v>
      </c>
      <c r="N126" s="955" t="s">
        <v>352</v>
      </c>
      <c r="O126" s="811"/>
      <c r="P126" s="811"/>
      <c r="Q126" s="811"/>
      <c r="R126" s="961">
        <v>0</v>
      </c>
      <c r="S126" s="811"/>
      <c r="T126" s="811"/>
      <c r="U126" s="811"/>
      <c r="V126" s="811"/>
      <c r="W126" s="811"/>
      <c r="X126" s="811"/>
      <c r="Y126" s="811"/>
      <c r="Z126" s="811"/>
      <c r="AA126" s="811"/>
      <c r="AB126" s="811"/>
      <c r="AC126" s="811"/>
      <c r="AD126" s="811"/>
      <c r="AE126" s="811"/>
      <c r="AF126" s="811"/>
      <c r="AG126" s="811"/>
      <c r="AH126" s="811"/>
      <c r="AI126" s="811"/>
      <c r="AJ126" s="811"/>
      <c r="AK126" s="811"/>
      <c r="AL126" s="811"/>
      <c r="AM126" s="811"/>
      <c r="AN126" s="961"/>
      <c r="AO126" s="961"/>
      <c r="AP126" s="961"/>
      <c r="AQ126" s="961"/>
      <c r="AR126" s="961"/>
      <c r="AS126" s="961"/>
      <c r="AT126" s="961"/>
      <c r="AU126" s="961"/>
      <c r="AV126" s="961"/>
      <c r="AW126" s="961"/>
      <c r="AX126" s="796"/>
      <c r="AY126" s="796"/>
      <c r="AZ126" s="796"/>
      <c r="BA126" s="927"/>
    </row>
    <row r="127" spans="1:53" ht="14.4">
      <c r="A127" s="809">
        <v>1</v>
      </c>
      <c r="B127" s="927"/>
      <c r="C127" s="933" t="b">
        <v>0</v>
      </c>
      <c r="D127" s="980" t="s">
        <v>1484</v>
      </c>
      <c r="E127" s="927"/>
      <c r="F127" s="927"/>
      <c r="G127" s="927"/>
      <c r="H127" s="927"/>
      <c r="I127" s="927"/>
      <c r="J127" s="927"/>
      <c r="K127" s="927"/>
      <c r="L127" s="953" t="s">
        <v>1269</v>
      </c>
      <c r="M127" s="954" t="s">
        <v>1302</v>
      </c>
      <c r="N127" s="955" t="s">
        <v>352</v>
      </c>
      <c r="O127" s="811"/>
      <c r="P127" s="811"/>
      <c r="Q127" s="811"/>
      <c r="R127" s="961">
        <v>0</v>
      </c>
      <c r="S127" s="811"/>
      <c r="T127" s="811"/>
      <c r="U127" s="811"/>
      <c r="V127" s="811"/>
      <c r="W127" s="811"/>
      <c r="X127" s="811"/>
      <c r="Y127" s="811"/>
      <c r="Z127" s="811"/>
      <c r="AA127" s="811"/>
      <c r="AB127" s="811"/>
      <c r="AC127" s="811"/>
      <c r="AD127" s="811"/>
      <c r="AE127" s="811"/>
      <c r="AF127" s="811"/>
      <c r="AG127" s="811"/>
      <c r="AH127" s="811"/>
      <c r="AI127" s="811"/>
      <c r="AJ127" s="811"/>
      <c r="AK127" s="811"/>
      <c r="AL127" s="811"/>
      <c r="AM127" s="811"/>
      <c r="AN127" s="961"/>
      <c r="AO127" s="961"/>
      <c r="AP127" s="961"/>
      <c r="AQ127" s="961"/>
      <c r="AR127" s="961"/>
      <c r="AS127" s="961"/>
      <c r="AT127" s="961"/>
      <c r="AU127" s="961"/>
      <c r="AV127" s="961"/>
      <c r="AW127" s="961"/>
      <c r="AX127" s="796"/>
      <c r="AY127" s="796"/>
      <c r="AZ127" s="796"/>
      <c r="BA127" s="927"/>
    </row>
    <row r="128" spans="1:53" s="109" customFormat="1" ht="11.4">
      <c r="A128" s="809">
        <v>1</v>
      </c>
      <c r="B128" s="927" t="s">
        <v>1184</v>
      </c>
      <c r="C128" s="927"/>
      <c r="D128" s="927" t="s">
        <v>1485</v>
      </c>
      <c r="E128" s="968"/>
      <c r="F128" s="968"/>
      <c r="G128" s="968"/>
      <c r="H128" s="968"/>
      <c r="I128" s="968"/>
      <c r="J128" s="968"/>
      <c r="K128" s="968"/>
      <c r="L128" s="969" t="s">
        <v>129</v>
      </c>
      <c r="M128" s="975" t="s">
        <v>654</v>
      </c>
      <c r="N128" s="971" t="s">
        <v>311</v>
      </c>
      <c r="O128" s="981">
        <v>590</v>
      </c>
      <c r="P128" s="981">
        <v>651.79</v>
      </c>
      <c r="Q128" s="981">
        <v>651.79</v>
      </c>
      <c r="R128" s="981">
        <v>0</v>
      </c>
      <c r="S128" s="981">
        <v>571.72</v>
      </c>
      <c r="T128" s="981">
        <v>685.16000000000008</v>
      </c>
      <c r="U128" s="981">
        <v>0</v>
      </c>
      <c r="V128" s="981">
        <v>0</v>
      </c>
      <c r="W128" s="981">
        <v>0</v>
      </c>
      <c r="X128" s="981">
        <v>0</v>
      </c>
      <c r="Y128" s="981">
        <v>0</v>
      </c>
      <c r="Z128" s="981">
        <v>0</v>
      </c>
      <c r="AA128" s="981">
        <v>0</v>
      </c>
      <c r="AB128" s="981">
        <v>0</v>
      </c>
      <c r="AC128" s="981">
        <v>0</v>
      </c>
      <c r="AD128" s="981">
        <v>685.16000000000008</v>
      </c>
      <c r="AE128" s="981">
        <v>0</v>
      </c>
      <c r="AF128" s="981">
        <v>0</v>
      </c>
      <c r="AG128" s="981">
        <v>0</v>
      </c>
      <c r="AH128" s="981">
        <v>0</v>
      </c>
      <c r="AI128" s="981">
        <v>0</v>
      </c>
      <c r="AJ128" s="981">
        <v>0</v>
      </c>
      <c r="AK128" s="981">
        <v>0</v>
      </c>
      <c r="AL128" s="981">
        <v>0</v>
      </c>
      <c r="AM128" s="981">
        <v>0</v>
      </c>
      <c r="AN128" s="950"/>
      <c r="AO128" s="950"/>
      <c r="AP128" s="950"/>
      <c r="AQ128" s="950"/>
      <c r="AR128" s="950"/>
      <c r="AS128" s="950"/>
      <c r="AT128" s="950"/>
      <c r="AU128" s="950"/>
      <c r="AV128" s="950"/>
      <c r="AW128" s="950"/>
      <c r="AX128" s="796"/>
      <c r="AY128" s="796"/>
      <c r="AZ128" s="796"/>
      <c r="BA128" s="968"/>
    </row>
    <row r="129" spans="1:53" ht="11.4">
      <c r="A129" s="809">
        <v>1</v>
      </c>
      <c r="B129" s="927" t="s">
        <v>1180</v>
      </c>
      <c r="C129" s="927"/>
      <c r="D129" s="927" t="s">
        <v>1486</v>
      </c>
      <c r="E129" s="927"/>
      <c r="F129" s="927"/>
      <c r="G129" s="927"/>
      <c r="H129" s="927"/>
      <c r="I129" s="927"/>
      <c r="J129" s="927"/>
      <c r="K129" s="927"/>
      <c r="L129" s="953" t="s">
        <v>1487</v>
      </c>
      <c r="M129" s="978" t="s">
        <v>1108</v>
      </c>
      <c r="N129" s="955" t="s">
        <v>311</v>
      </c>
      <c r="O129" s="982">
        <v>295</v>
      </c>
      <c r="P129" s="982">
        <v>325.89499999999998</v>
      </c>
      <c r="Q129" s="982">
        <v>325.89499999999998</v>
      </c>
      <c r="R129" s="957">
        <v>0</v>
      </c>
      <c r="S129" s="982">
        <v>285.86</v>
      </c>
      <c r="T129" s="982">
        <v>342.58000000000004</v>
      </c>
      <c r="U129" s="982">
        <v>0</v>
      </c>
      <c r="V129" s="982">
        <v>0</v>
      </c>
      <c r="W129" s="982">
        <v>0</v>
      </c>
      <c r="X129" s="982">
        <v>0</v>
      </c>
      <c r="Y129" s="982">
        <v>0</v>
      </c>
      <c r="Z129" s="982">
        <v>0</v>
      </c>
      <c r="AA129" s="982">
        <v>0</v>
      </c>
      <c r="AB129" s="982">
        <v>0</v>
      </c>
      <c r="AC129" s="982">
        <v>0</v>
      </c>
      <c r="AD129" s="982">
        <v>342.58000000000004</v>
      </c>
      <c r="AE129" s="982">
        <v>0</v>
      </c>
      <c r="AF129" s="982">
        <v>0</v>
      </c>
      <c r="AG129" s="982">
        <v>0</v>
      </c>
      <c r="AH129" s="982">
        <v>0</v>
      </c>
      <c r="AI129" s="982">
        <v>0</v>
      </c>
      <c r="AJ129" s="982">
        <v>0</v>
      </c>
      <c r="AK129" s="982">
        <v>0</v>
      </c>
      <c r="AL129" s="982">
        <v>0</v>
      </c>
      <c r="AM129" s="982">
        <v>0</v>
      </c>
      <c r="AN129" s="961"/>
      <c r="AO129" s="961"/>
      <c r="AP129" s="961"/>
      <c r="AQ129" s="961"/>
      <c r="AR129" s="961"/>
      <c r="AS129" s="961"/>
      <c r="AT129" s="961"/>
      <c r="AU129" s="961"/>
      <c r="AV129" s="961"/>
      <c r="AW129" s="961"/>
      <c r="AX129" s="796"/>
      <c r="AY129" s="796"/>
      <c r="AZ129" s="796"/>
      <c r="BA129" s="927"/>
    </row>
    <row r="130" spans="1:53" ht="11.4">
      <c r="A130" s="809">
        <v>1</v>
      </c>
      <c r="B130" s="927" t="s">
        <v>1175</v>
      </c>
      <c r="C130" s="927"/>
      <c r="D130" s="927" t="s">
        <v>1488</v>
      </c>
      <c r="E130" s="927"/>
      <c r="F130" s="927"/>
      <c r="G130" s="927"/>
      <c r="H130" s="927"/>
      <c r="I130" s="927"/>
      <c r="J130" s="927"/>
      <c r="K130" s="927"/>
      <c r="L130" s="953" t="s">
        <v>1489</v>
      </c>
      <c r="M130" s="978" t="s">
        <v>1107</v>
      </c>
      <c r="N130" s="955" t="s">
        <v>655</v>
      </c>
      <c r="O130" s="983">
        <v>3.11</v>
      </c>
      <c r="P130" s="983">
        <v>3.11</v>
      </c>
      <c r="Q130" s="983">
        <v>3.11</v>
      </c>
      <c r="R130" s="961">
        <v>0</v>
      </c>
      <c r="S130" s="983">
        <v>3.48</v>
      </c>
      <c r="T130" s="983">
        <v>8.1</v>
      </c>
      <c r="U130" s="983"/>
      <c r="V130" s="983"/>
      <c r="W130" s="983"/>
      <c r="X130" s="983"/>
      <c r="Y130" s="983"/>
      <c r="Z130" s="983"/>
      <c r="AA130" s="983"/>
      <c r="AB130" s="983"/>
      <c r="AC130" s="983"/>
      <c r="AD130" s="983">
        <v>3.46</v>
      </c>
      <c r="AE130" s="983"/>
      <c r="AF130" s="983"/>
      <c r="AG130" s="983"/>
      <c r="AH130" s="983"/>
      <c r="AI130" s="983"/>
      <c r="AJ130" s="983"/>
      <c r="AK130" s="983"/>
      <c r="AL130" s="983"/>
      <c r="AM130" s="983"/>
      <c r="AN130" s="961"/>
      <c r="AO130" s="961"/>
      <c r="AP130" s="961"/>
      <c r="AQ130" s="961"/>
      <c r="AR130" s="961"/>
      <c r="AS130" s="961"/>
      <c r="AT130" s="961"/>
      <c r="AU130" s="961"/>
      <c r="AV130" s="961"/>
      <c r="AW130" s="961"/>
      <c r="AX130" s="796"/>
      <c r="AY130" s="796"/>
      <c r="AZ130" s="796"/>
      <c r="BA130" s="927"/>
    </row>
    <row r="131" spans="1:53" ht="11.4">
      <c r="A131" s="809">
        <v>1</v>
      </c>
      <c r="B131" s="927" t="s">
        <v>1181</v>
      </c>
      <c r="C131" s="927"/>
      <c r="D131" s="927" t="s">
        <v>1490</v>
      </c>
      <c r="E131" s="927"/>
      <c r="F131" s="927"/>
      <c r="G131" s="927"/>
      <c r="H131" s="927"/>
      <c r="I131" s="927"/>
      <c r="J131" s="927"/>
      <c r="K131" s="927"/>
      <c r="L131" s="953" t="s">
        <v>1491</v>
      </c>
      <c r="M131" s="978" t="s">
        <v>1109</v>
      </c>
      <c r="N131" s="955" t="s">
        <v>311</v>
      </c>
      <c r="O131" s="984">
        <v>295</v>
      </c>
      <c r="P131" s="984">
        <v>325.89499999999998</v>
      </c>
      <c r="Q131" s="984">
        <v>325.89499999999998</v>
      </c>
      <c r="R131" s="957">
        <v>0</v>
      </c>
      <c r="S131" s="984">
        <v>285.86</v>
      </c>
      <c r="T131" s="984">
        <v>342.58000000000004</v>
      </c>
      <c r="U131" s="984">
        <v>0</v>
      </c>
      <c r="V131" s="984">
        <v>0</v>
      </c>
      <c r="W131" s="984">
        <v>0</v>
      </c>
      <c r="X131" s="984">
        <v>0</v>
      </c>
      <c r="Y131" s="984">
        <v>0</v>
      </c>
      <c r="Z131" s="984">
        <v>0</v>
      </c>
      <c r="AA131" s="984">
        <v>0</v>
      </c>
      <c r="AB131" s="984">
        <v>0</v>
      </c>
      <c r="AC131" s="984">
        <v>0</v>
      </c>
      <c r="AD131" s="984">
        <v>342.58000000000004</v>
      </c>
      <c r="AE131" s="984">
        <v>0</v>
      </c>
      <c r="AF131" s="984">
        <v>0</v>
      </c>
      <c r="AG131" s="984">
        <v>0</v>
      </c>
      <c r="AH131" s="984">
        <v>0</v>
      </c>
      <c r="AI131" s="984">
        <v>0</v>
      </c>
      <c r="AJ131" s="984">
        <v>0</v>
      </c>
      <c r="AK131" s="984">
        <v>0</v>
      </c>
      <c r="AL131" s="984">
        <v>0</v>
      </c>
      <c r="AM131" s="984">
        <v>0</v>
      </c>
      <c r="AN131" s="961"/>
      <c r="AO131" s="961"/>
      <c r="AP131" s="961"/>
      <c r="AQ131" s="961"/>
      <c r="AR131" s="961"/>
      <c r="AS131" s="961"/>
      <c r="AT131" s="961"/>
      <c r="AU131" s="961"/>
      <c r="AV131" s="961"/>
      <c r="AW131" s="961"/>
      <c r="AX131" s="796"/>
      <c r="AY131" s="796"/>
      <c r="AZ131" s="796"/>
      <c r="BA131" s="927"/>
    </row>
    <row r="132" spans="1:53" ht="11.4">
      <c r="A132" s="809">
        <v>1</v>
      </c>
      <c r="B132" s="927" t="s">
        <v>1176</v>
      </c>
      <c r="C132" s="927"/>
      <c r="D132" s="927" t="s">
        <v>1492</v>
      </c>
      <c r="E132" s="927"/>
      <c r="F132" s="927"/>
      <c r="G132" s="927"/>
      <c r="H132" s="927"/>
      <c r="I132" s="927"/>
      <c r="J132" s="927"/>
      <c r="K132" s="927"/>
      <c r="L132" s="953" t="s">
        <v>1493</v>
      </c>
      <c r="M132" s="978" t="s">
        <v>1110</v>
      </c>
      <c r="N132" s="955" t="s">
        <v>655</v>
      </c>
      <c r="O132" s="983">
        <v>3.2082372881355932</v>
      </c>
      <c r="P132" s="983">
        <v>26.877971585940262</v>
      </c>
      <c r="Q132" s="983">
        <v>2.5991394467543238</v>
      </c>
      <c r="R132" s="961">
        <v>-24.278832139185937</v>
      </c>
      <c r="S132" s="983">
        <v>3.4799804099909042</v>
      </c>
      <c r="T132" s="983">
        <v>8.0976472648724371</v>
      </c>
      <c r="U132" s="983">
        <v>0</v>
      </c>
      <c r="V132" s="983">
        <v>0</v>
      </c>
      <c r="W132" s="983">
        <v>0</v>
      </c>
      <c r="X132" s="983">
        <v>0</v>
      </c>
      <c r="Y132" s="983">
        <v>0</v>
      </c>
      <c r="Z132" s="983">
        <v>0</v>
      </c>
      <c r="AA132" s="983">
        <v>0</v>
      </c>
      <c r="AB132" s="983">
        <v>0</v>
      </c>
      <c r="AC132" s="983">
        <v>0</v>
      </c>
      <c r="AD132" s="983">
        <v>3.4592571640264587</v>
      </c>
      <c r="AE132" s="983">
        <v>0</v>
      </c>
      <c r="AF132" s="983">
        <v>0</v>
      </c>
      <c r="AG132" s="983">
        <v>0</v>
      </c>
      <c r="AH132" s="983">
        <v>0</v>
      </c>
      <c r="AI132" s="983">
        <v>0</v>
      </c>
      <c r="AJ132" s="983">
        <v>0</v>
      </c>
      <c r="AK132" s="983">
        <v>0</v>
      </c>
      <c r="AL132" s="983">
        <v>0</v>
      </c>
      <c r="AM132" s="983">
        <v>0</v>
      </c>
      <c r="AN132" s="961"/>
      <c r="AO132" s="961"/>
      <c r="AP132" s="961"/>
      <c r="AQ132" s="961"/>
      <c r="AR132" s="961"/>
      <c r="AS132" s="961"/>
      <c r="AT132" s="961"/>
      <c r="AU132" s="961"/>
      <c r="AV132" s="961"/>
      <c r="AW132" s="961"/>
      <c r="AX132" s="796"/>
      <c r="AY132" s="796"/>
      <c r="AZ132" s="796"/>
      <c r="BA132" s="927"/>
    </row>
    <row r="133" spans="1:53" ht="11.4">
      <c r="A133" s="809">
        <v>1</v>
      </c>
      <c r="B133" s="927"/>
      <c r="C133" s="927"/>
      <c r="D133" s="927" t="s">
        <v>1494</v>
      </c>
      <c r="E133" s="927"/>
      <c r="F133" s="927"/>
      <c r="G133" s="927"/>
      <c r="H133" s="927"/>
      <c r="I133" s="927"/>
      <c r="J133" s="927"/>
      <c r="K133" s="927"/>
      <c r="L133" s="953" t="s">
        <v>1495</v>
      </c>
      <c r="M133" s="954" t="s">
        <v>656</v>
      </c>
      <c r="N133" s="955" t="s">
        <v>137</v>
      </c>
      <c r="O133" s="985">
        <v>103.15875524551747</v>
      </c>
      <c r="P133" s="985">
        <v>864.24345935499241</v>
      </c>
      <c r="Q133" s="985">
        <v>83.573615651264433</v>
      </c>
      <c r="R133" s="961"/>
      <c r="S133" s="985">
        <v>99.99943706870414</v>
      </c>
      <c r="T133" s="985">
        <v>99.970953887314039</v>
      </c>
      <c r="U133" s="985">
        <v>0</v>
      </c>
      <c r="V133" s="985">
        <v>0</v>
      </c>
      <c r="W133" s="985">
        <v>0</v>
      </c>
      <c r="X133" s="985">
        <v>0</v>
      </c>
      <c r="Y133" s="985">
        <v>0</v>
      </c>
      <c r="Z133" s="985">
        <v>0</v>
      </c>
      <c r="AA133" s="985">
        <v>0</v>
      </c>
      <c r="AB133" s="985">
        <v>0</v>
      </c>
      <c r="AC133" s="985">
        <v>0</v>
      </c>
      <c r="AD133" s="985">
        <v>99.978530752209792</v>
      </c>
      <c r="AE133" s="985">
        <v>0</v>
      </c>
      <c r="AF133" s="985">
        <v>0</v>
      </c>
      <c r="AG133" s="985">
        <v>0</v>
      </c>
      <c r="AH133" s="985">
        <v>0</v>
      </c>
      <c r="AI133" s="985">
        <v>0</v>
      </c>
      <c r="AJ133" s="985">
        <v>0</v>
      </c>
      <c r="AK133" s="985">
        <v>0</v>
      </c>
      <c r="AL133" s="985">
        <v>0</v>
      </c>
      <c r="AM133" s="985">
        <v>0</v>
      </c>
      <c r="AN133" s="961"/>
      <c r="AO133" s="961"/>
      <c r="AP133" s="961"/>
      <c r="AQ133" s="961"/>
      <c r="AR133" s="961"/>
      <c r="AS133" s="961"/>
      <c r="AT133" s="961"/>
      <c r="AU133" s="961"/>
      <c r="AV133" s="961"/>
      <c r="AW133" s="961"/>
      <c r="AX133" s="796"/>
      <c r="AY133" s="796"/>
      <c r="AZ133" s="796"/>
      <c r="BA133" s="927"/>
    </row>
    <row r="134" spans="1:53" ht="11.4">
      <c r="A134" s="809">
        <v>1</v>
      </c>
      <c r="B134" s="927"/>
      <c r="C134" s="927"/>
      <c r="D134" s="927" t="s">
        <v>1496</v>
      </c>
      <c r="E134" s="927"/>
      <c r="F134" s="927"/>
      <c r="G134" s="927"/>
      <c r="H134" s="927"/>
      <c r="I134" s="927"/>
      <c r="J134" s="927"/>
      <c r="K134" s="927"/>
      <c r="L134" s="953" t="s">
        <v>1497</v>
      </c>
      <c r="M134" s="954" t="s">
        <v>657</v>
      </c>
      <c r="N134" s="955" t="s">
        <v>655</v>
      </c>
      <c r="O134" s="983">
        <v>3.1591186440677963</v>
      </c>
      <c r="P134" s="983">
        <v>14.993985792970129</v>
      </c>
      <c r="Q134" s="983">
        <v>2.8545697233771619</v>
      </c>
      <c r="R134" s="961">
        <v>-12.139416069592967</v>
      </c>
      <c r="S134" s="983">
        <v>3.4799902049954521</v>
      </c>
      <c r="T134" s="983">
        <v>8.0988236324362184</v>
      </c>
      <c r="U134" s="983">
        <v>0</v>
      </c>
      <c r="V134" s="983">
        <v>0</v>
      </c>
      <c r="W134" s="983">
        <v>0</v>
      </c>
      <c r="X134" s="983">
        <v>0</v>
      </c>
      <c r="Y134" s="983">
        <v>0</v>
      </c>
      <c r="Z134" s="983">
        <v>0</v>
      </c>
      <c r="AA134" s="983">
        <v>0</v>
      </c>
      <c r="AB134" s="983">
        <v>0</v>
      </c>
      <c r="AC134" s="983">
        <v>0</v>
      </c>
      <c r="AD134" s="983">
        <v>3.4596285820132291</v>
      </c>
      <c r="AE134" s="983">
        <v>0</v>
      </c>
      <c r="AF134" s="983">
        <v>0</v>
      </c>
      <c r="AG134" s="983">
        <v>0</v>
      </c>
      <c r="AH134" s="983">
        <v>0</v>
      </c>
      <c r="AI134" s="983">
        <v>0</v>
      </c>
      <c r="AJ134" s="983">
        <v>0</v>
      </c>
      <c r="AK134" s="983">
        <v>0</v>
      </c>
      <c r="AL134" s="983">
        <v>0</v>
      </c>
      <c r="AM134" s="983">
        <v>0</v>
      </c>
      <c r="AN134" s="961"/>
      <c r="AO134" s="961"/>
      <c r="AP134" s="961"/>
      <c r="AQ134" s="961"/>
      <c r="AR134" s="961"/>
      <c r="AS134" s="961"/>
      <c r="AT134" s="961"/>
      <c r="AU134" s="961"/>
      <c r="AV134" s="961"/>
      <c r="AW134" s="961"/>
      <c r="AX134" s="796"/>
      <c r="AY134" s="796"/>
      <c r="AZ134" s="796"/>
      <c r="BA134" s="927"/>
    </row>
    <row r="135" spans="1:53" s="109" customFormat="1" ht="11.4">
      <c r="A135" s="809">
        <v>1</v>
      </c>
      <c r="B135" s="968"/>
      <c r="C135" s="927"/>
      <c r="D135" s="927" t="s">
        <v>1498</v>
      </c>
      <c r="E135" s="968"/>
      <c r="F135" s="968"/>
      <c r="G135" s="968"/>
      <c r="H135" s="968"/>
      <c r="I135" s="968"/>
      <c r="J135" s="968"/>
      <c r="K135" s="968"/>
      <c r="L135" s="969" t="s">
        <v>130</v>
      </c>
      <c r="M135" s="975" t="s">
        <v>1307</v>
      </c>
      <c r="N135" s="971" t="s">
        <v>352</v>
      </c>
      <c r="O135" s="979">
        <v>0</v>
      </c>
      <c r="P135" s="979">
        <v>0</v>
      </c>
      <c r="Q135" s="979">
        <v>0</v>
      </c>
      <c r="R135" s="950">
        <v>0</v>
      </c>
      <c r="S135" s="979">
        <v>0</v>
      </c>
      <c r="T135" s="979">
        <v>0</v>
      </c>
      <c r="U135" s="979">
        <v>0</v>
      </c>
      <c r="V135" s="979">
        <v>0</v>
      </c>
      <c r="W135" s="979">
        <v>0</v>
      </c>
      <c r="X135" s="979">
        <v>0</v>
      </c>
      <c r="Y135" s="979">
        <v>0</v>
      </c>
      <c r="Z135" s="979">
        <v>0</v>
      </c>
      <c r="AA135" s="979">
        <v>0</v>
      </c>
      <c r="AB135" s="979">
        <v>0</v>
      </c>
      <c r="AC135" s="979">
        <v>0</v>
      </c>
      <c r="AD135" s="979">
        <v>0</v>
      </c>
      <c r="AE135" s="979">
        <v>0</v>
      </c>
      <c r="AF135" s="979">
        <v>0</v>
      </c>
      <c r="AG135" s="979">
        <v>0</v>
      </c>
      <c r="AH135" s="979">
        <v>0</v>
      </c>
      <c r="AI135" s="979">
        <v>0</v>
      </c>
      <c r="AJ135" s="979">
        <v>0</v>
      </c>
      <c r="AK135" s="979">
        <v>0</v>
      </c>
      <c r="AL135" s="979">
        <v>0</v>
      </c>
      <c r="AM135" s="979">
        <v>0</v>
      </c>
      <c r="AN135" s="950">
        <v>0</v>
      </c>
      <c r="AO135" s="950">
        <v>0</v>
      </c>
      <c r="AP135" s="950">
        <v>0</v>
      </c>
      <c r="AQ135" s="950">
        <v>0</v>
      </c>
      <c r="AR135" s="950">
        <v>0</v>
      </c>
      <c r="AS135" s="950">
        <v>0</v>
      </c>
      <c r="AT135" s="950">
        <v>0</v>
      </c>
      <c r="AU135" s="950">
        <v>0</v>
      </c>
      <c r="AV135" s="950">
        <v>0</v>
      </c>
      <c r="AW135" s="950">
        <v>0</v>
      </c>
      <c r="AX135" s="796"/>
      <c r="AY135" s="796"/>
      <c r="AZ135" s="796"/>
      <c r="BA135" s="968"/>
    </row>
    <row r="136" spans="1:53" s="109" customFormat="1" ht="11.4">
      <c r="A136" s="809">
        <v>1</v>
      </c>
      <c r="B136" s="927" t="s">
        <v>1185</v>
      </c>
      <c r="C136" s="927"/>
      <c r="D136" s="927" t="s">
        <v>1499</v>
      </c>
      <c r="E136" s="968"/>
      <c r="F136" s="968"/>
      <c r="G136" s="968"/>
      <c r="H136" s="968"/>
      <c r="I136" s="968"/>
      <c r="J136" s="968"/>
      <c r="K136" s="968"/>
      <c r="L136" s="969" t="s">
        <v>131</v>
      </c>
      <c r="M136" s="975" t="s">
        <v>658</v>
      </c>
      <c r="N136" s="971" t="s">
        <v>311</v>
      </c>
      <c r="O136" s="981">
        <v>0</v>
      </c>
      <c r="P136" s="981">
        <v>0</v>
      </c>
      <c r="Q136" s="981">
        <v>0</v>
      </c>
      <c r="R136" s="981">
        <v>0</v>
      </c>
      <c r="S136" s="981">
        <v>0</v>
      </c>
      <c r="T136" s="981">
        <v>0</v>
      </c>
      <c r="U136" s="981">
        <v>0</v>
      </c>
      <c r="V136" s="981">
        <v>0</v>
      </c>
      <c r="W136" s="981">
        <v>0</v>
      </c>
      <c r="X136" s="981">
        <v>0</v>
      </c>
      <c r="Y136" s="981">
        <v>0</v>
      </c>
      <c r="Z136" s="981">
        <v>0</v>
      </c>
      <c r="AA136" s="981">
        <v>0</v>
      </c>
      <c r="AB136" s="981">
        <v>0</v>
      </c>
      <c r="AC136" s="981">
        <v>0</v>
      </c>
      <c r="AD136" s="981">
        <v>0</v>
      </c>
      <c r="AE136" s="981">
        <v>0</v>
      </c>
      <c r="AF136" s="981">
        <v>0</v>
      </c>
      <c r="AG136" s="981">
        <v>0</v>
      </c>
      <c r="AH136" s="981">
        <v>0</v>
      </c>
      <c r="AI136" s="981">
        <v>0</v>
      </c>
      <c r="AJ136" s="981">
        <v>0</v>
      </c>
      <c r="AK136" s="981">
        <v>0</v>
      </c>
      <c r="AL136" s="981">
        <v>0</v>
      </c>
      <c r="AM136" s="981">
        <v>0</v>
      </c>
      <c r="AN136" s="950"/>
      <c r="AO136" s="950"/>
      <c r="AP136" s="950"/>
      <c r="AQ136" s="950"/>
      <c r="AR136" s="950"/>
      <c r="AS136" s="950"/>
      <c r="AT136" s="950"/>
      <c r="AU136" s="950"/>
      <c r="AV136" s="950"/>
      <c r="AW136" s="950"/>
      <c r="AX136" s="796"/>
      <c r="AY136" s="796"/>
      <c r="AZ136" s="796"/>
      <c r="BA136" s="968"/>
    </row>
    <row r="137" spans="1:53" ht="11.4">
      <c r="A137" s="809">
        <v>1</v>
      </c>
      <c r="B137" s="927" t="s">
        <v>1182</v>
      </c>
      <c r="C137" s="927"/>
      <c r="D137" s="927" t="s">
        <v>1500</v>
      </c>
      <c r="E137" s="927"/>
      <c r="F137" s="927"/>
      <c r="G137" s="927"/>
      <c r="H137" s="927"/>
      <c r="I137" s="927"/>
      <c r="J137" s="927"/>
      <c r="K137" s="927"/>
      <c r="L137" s="986" t="s">
        <v>1501</v>
      </c>
      <c r="M137" s="978" t="s">
        <v>1169</v>
      </c>
      <c r="N137" s="987" t="s">
        <v>311</v>
      </c>
      <c r="O137" s="982">
        <v>0</v>
      </c>
      <c r="P137" s="982">
        <v>0</v>
      </c>
      <c r="Q137" s="982">
        <v>0</v>
      </c>
      <c r="R137" s="957">
        <v>0</v>
      </c>
      <c r="S137" s="982">
        <v>0</v>
      </c>
      <c r="T137" s="982">
        <v>0</v>
      </c>
      <c r="U137" s="982">
        <v>0</v>
      </c>
      <c r="V137" s="982">
        <v>0</v>
      </c>
      <c r="W137" s="982">
        <v>0</v>
      </c>
      <c r="X137" s="982">
        <v>0</v>
      </c>
      <c r="Y137" s="982">
        <v>0</v>
      </c>
      <c r="Z137" s="982">
        <v>0</v>
      </c>
      <c r="AA137" s="982">
        <v>0</v>
      </c>
      <c r="AB137" s="982">
        <v>0</v>
      </c>
      <c r="AC137" s="982">
        <v>0</v>
      </c>
      <c r="AD137" s="982">
        <v>0</v>
      </c>
      <c r="AE137" s="982">
        <v>0</v>
      </c>
      <c r="AF137" s="982">
        <v>0</v>
      </c>
      <c r="AG137" s="982">
        <v>0</v>
      </c>
      <c r="AH137" s="982">
        <v>0</v>
      </c>
      <c r="AI137" s="982">
        <v>0</v>
      </c>
      <c r="AJ137" s="982">
        <v>0</v>
      </c>
      <c r="AK137" s="982">
        <v>0</v>
      </c>
      <c r="AL137" s="982">
        <v>0</v>
      </c>
      <c r="AM137" s="982">
        <v>0</v>
      </c>
      <c r="AN137" s="961"/>
      <c r="AO137" s="961"/>
      <c r="AP137" s="961"/>
      <c r="AQ137" s="961"/>
      <c r="AR137" s="961"/>
      <c r="AS137" s="961"/>
      <c r="AT137" s="961"/>
      <c r="AU137" s="961"/>
      <c r="AV137" s="961"/>
      <c r="AW137" s="961"/>
      <c r="AX137" s="796"/>
      <c r="AY137" s="796"/>
      <c r="AZ137" s="796"/>
      <c r="BA137" s="927"/>
    </row>
    <row r="138" spans="1:53" ht="11.4">
      <c r="A138" s="809">
        <v>1</v>
      </c>
      <c r="B138" s="927" t="s">
        <v>1178</v>
      </c>
      <c r="C138" s="927"/>
      <c r="D138" s="927" t="s">
        <v>1502</v>
      </c>
      <c r="E138" s="927"/>
      <c r="F138" s="927"/>
      <c r="G138" s="927"/>
      <c r="H138" s="927"/>
      <c r="I138" s="927"/>
      <c r="J138" s="927"/>
      <c r="K138" s="927"/>
      <c r="L138" s="986" t="s">
        <v>1503</v>
      </c>
      <c r="M138" s="978" t="s">
        <v>1170</v>
      </c>
      <c r="N138" s="987" t="s">
        <v>655</v>
      </c>
      <c r="O138" s="983">
        <v>0</v>
      </c>
      <c r="P138" s="983">
        <v>0</v>
      </c>
      <c r="Q138" s="983">
        <v>0</v>
      </c>
      <c r="R138" s="961">
        <v>0</v>
      </c>
      <c r="S138" s="983">
        <v>0</v>
      </c>
      <c r="T138" s="983">
        <v>0</v>
      </c>
      <c r="U138" s="983">
        <v>0</v>
      </c>
      <c r="V138" s="983">
        <v>0</v>
      </c>
      <c r="W138" s="983">
        <v>0</v>
      </c>
      <c r="X138" s="983">
        <v>0</v>
      </c>
      <c r="Y138" s="983">
        <v>0</v>
      </c>
      <c r="Z138" s="983">
        <v>0</v>
      </c>
      <c r="AA138" s="983">
        <v>0</v>
      </c>
      <c r="AB138" s="983">
        <v>0</v>
      </c>
      <c r="AC138" s="983">
        <v>0</v>
      </c>
      <c r="AD138" s="983">
        <v>0</v>
      </c>
      <c r="AE138" s="983">
        <v>0</v>
      </c>
      <c r="AF138" s="983">
        <v>0</v>
      </c>
      <c r="AG138" s="983">
        <v>0</v>
      </c>
      <c r="AH138" s="983">
        <v>0</v>
      </c>
      <c r="AI138" s="983">
        <v>0</v>
      </c>
      <c r="AJ138" s="983">
        <v>0</v>
      </c>
      <c r="AK138" s="983">
        <v>0</v>
      </c>
      <c r="AL138" s="983">
        <v>0</v>
      </c>
      <c r="AM138" s="983">
        <v>0</v>
      </c>
      <c r="AN138" s="961"/>
      <c r="AO138" s="961"/>
      <c r="AP138" s="961"/>
      <c r="AQ138" s="961"/>
      <c r="AR138" s="961"/>
      <c r="AS138" s="961"/>
      <c r="AT138" s="961"/>
      <c r="AU138" s="961"/>
      <c r="AV138" s="961"/>
      <c r="AW138" s="961"/>
      <c r="AX138" s="796"/>
      <c r="AY138" s="796"/>
      <c r="AZ138" s="796"/>
      <c r="BA138" s="927"/>
    </row>
    <row r="139" spans="1:53" ht="11.4">
      <c r="A139" s="809">
        <v>1</v>
      </c>
      <c r="B139" s="927" t="s">
        <v>1183</v>
      </c>
      <c r="C139" s="927"/>
      <c r="D139" s="927" t="s">
        <v>1504</v>
      </c>
      <c r="E139" s="927"/>
      <c r="F139" s="927"/>
      <c r="G139" s="927"/>
      <c r="H139" s="927"/>
      <c r="I139" s="927"/>
      <c r="J139" s="927"/>
      <c r="K139" s="927"/>
      <c r="L139" s="986" t="s">
        <v>1505</v>
      </c>
      <c r="M139" s="978" t="s">
        <v>1171</v>
      </c>
      <c r="N139" s="987" t="s">
        <v>311</v>
      </c>
      <c r="O139" s="984">
        <v>0</v>
      </c>
      <c r="P139" s="984">
        <v>0</v>
      </c>
      <c r="Q139" s="984">
        <v>0</v>
      </c>
      <c r="R139" s="957">
        <v>0</v>
      </c>
      <c r="S139" s="984">
        <v>0</v>
      </c>
      <c r="T139" s="984">
        <v>0</v>
      </c>
      <c r="U139" s="984">
        <v>0</v>
      </c>
      <c r="V139" s="984">
        <v>0</v>
      </c>
      <c r="W139" s="984">
        <v>0</v>
      </c>
      <c r="X139" s="984">
        <v>0</v>
      </c>
      <c r="Y139" s="984">
        <v>0</v>
      </c>
      <c r="Z139" s="984">
        <v>0</v>
      </c>
      <c r="AA139" s="984">
        <v>0</v>
      </c>
      <c r="AB139" s="984">
        <v>0</v>
      </c>
      <c r="AC139" s="984">
        <v>0</v>
      </c>
      <c r="AD139" s="984">
        <v>0</v>
      </c>
      <c r="AE139" s="984">
        <v>0</v>
      </c>
      <c r="AF139" s="984">
        <v>0</v>
      </c>
      <c r="AG139" s="984">
        <v>0</v>
      </c>
      <c r="AH139" s="984">
        <v>0</v>
      </c>
      <c r="AI139" s="984">
        <v>0</v>
      </c>
      <c r="AJ139" s="984">
        <v>0</v>
      </c>
      <c r="AK139" s="984">
        <v>0</v>
      </c>
      <c r="AL139" s="984">
        <v>0</v>
      </c>
      <c r="AM139" s="984">
        <v>0</v>
      </c>
      <c r="AN139" s="961"/>
      <c r="AO139" s="961"/>
      <c r="AP139" s="961"/>
      <c r="AQ139" s="961"/>
      <c r="AR139" s="961"/>
      <c r="AS139" s="961"/>
      <c r="AT139" s="961"/>
      <c r="AU139" s="961"/>
      <c r="AV139" s="961"/>
      <c r="AW139" s="961"/>
      <c r="AX139" s="796"/>
      <c r="AY139" s="796"/>
      <c r="AZ139" s="796"/>
      <c r="BA139" s="927"/>
    </row>
    <row r="140" spans="1:53" ht="11.4">
      <c r="A140" s="809">
        <v>1</v>
      </c>
      <c r="B140" s="927" t="s">
        <v>1177</v>
      </c>
      <c r="C140" s="927"/>
      <c r="D140" s="927" t="s">
        <v>1506</v>
      </c>
      <c r="E140" s="927"/>
      <c r="F140" s="927"/>
      <c r="G140" s="927"/>
      <c r="H140" s="927"/>
      <c r="I140" s="927"/>
      <c r="J140" s="927"/>
      <c r="K140" s="927"/>
      <c r="L140" s="986" t="s">
        <v>1507</v>
      </c>
      <c r="M140" s="978" t="s">
        <v>1172</v>
      </c>
      <c r="N140" s="987" t="s">
        <v>655</v>
      </c>
      <c r="O140" s="983">
        <v>0</v>
      </c>
      <c r="P140" s="983">
        <v>0</v>
      </c>
      <c r="Q140" s="983">
        <v>0</v>
      </c>
      <c r="R140" s="961">
        <v>0</v>
      </c>
      <c r="S140" s="983">
        <v>0</v>
      </c>
      <c r="T140" s="983">
        <v>0</v>
      </c>
      <c r="U140" s="983">
        <v>0</v>
      </c>
      <c r="V140" s="983">
        <v>0</v>
      </c>
      <c r="W140" s="983">
        <v>0</v>
      </c>
      <c r="X140" s="983">
        <v>0</v>
      </c>
      <c r="Y140" s="983">
        <v>0</v>
      </c>
      <c r="Z140" s="983">
        <v>0</v>
      </c>
      <c r="AA140" s="983">
        <v>0</v>
      </c>
      <c r="AB140" s="983">
        <v>0</v>
      </c>
      <c r="AC140" s="983">
        <v>0</v>
      </c>
      <c r="AD140" s="983">
        <v>0</v>
      </c>
      <c r="AE140" s="983">
        <v>0</v>
      </c>
      <c r="AF140" s="983">
        <v>0</v>
      </c>
      <c r="AG140" s="983">
        <v>0</v>
      </c>
      <c r="AH140" s="983">
        <v>0</v>
      </c>
      <c r="AI140" s="983">
        <v>0</v>
      </c>
      <c r="AJ140" s="983">
        <v>0</v>
      </c>
      <c r="AK140" s="983">
        <v>0</v>
      </c>
      <c r="AL140" s="983">
        <v>0</v>
      </c>
      <c r="AM140" s="983">
        <v>0</v>
      </c>
      <c r="AN140" s="961"/>
      <c r="AO140" s="961"/>
      <c r="AP140" s="961"/>
      <c r="AQ140" s="961"/>
      <c r="AR140" s="961"/>
      <c r="AS140" s="961"/>
      <c r="AT140" s="961"/>
      <c r="AU140" s="961"/>
      <c r="AV140" s="961"/>
      <c r="AW140" s="961"/>
      <c r="AX140" s="796"/>
      <c r="AY140" s="796"/>
      <c r="AZ140" s="796"/>
      <c r="BA140" s="927"/>
    </row>
    <row r="141" spans="1:53" s="80" customFormat="1" ht="11.4">
      <c r="A141" s="788" t="s">
        <v>102</v>
      </c>
      <c r="B141" s="911" t="s">
        <v>1000</v>
      </c>
      <c r="C141" s="774"/>
      <c r="D141" s="911" t="s">
        <v>998</v>
      </c>
      <c r="E141" s="774"/>
      <c r="F141" s="774"/>
      <c r="G141" s="774"/>
      <c r="H141" s="774"/>
      <c r="I141" s="774"/>
      <c r="J141" s="774"/>
      <c r="K141" s="774"/>
      <c r="L141" s="942" t="s">
        <v>3009</v>
      </c>
      <c r="M141" s="943"/>
      <c r="N141" s="943"/>
      <c r="O141" s="943"/>
      <c r="P141" s="943"/>
      <c r="Q141" s="943"/>
      <c r="R141" s="943"/>
      <c r="S141" s="943"/>
      <c r="T141" s="943"/>
      <c r="U141" s="943"/>
      <c r="V141" s="943"/>
      <c r="W141" s="943"/>
      <c r="X141" s="943"/>
      <c r="Y141" s="943"/>
      <c r="Z141" s="943"/>
      <c r="AA141" s="943"/>
      <c r="AB141" s="943"/>
      <c r="AC141" s="943"/>
      <c r="AD141" s="943"/>
      <c r="AE141" s="943"/>
      <c r="AF141" s="943"/>
      <c r="AG141" s="943"/>
      <c r="AH141" s="943"/>
      <c r="AI141" s="943"/>
      <c r="AJ141" s="943"/>
      <c r="AK141" s="943"/>
      <c r="AL141" s="943"/>
      <c r="AM141" s="943"/>
      <c r="AN141" s="943"/>
      <c r="AO141" s="943"/>
      <c r="AP141" s="943"/>
      <c r="AQ141" s="943"/>
      <c r="AR141" s="943"/>
      <c r="AS141" s="943"/>
      <c r="AT141" s="943"/>
      <c r="AU141" s="943"/>
      <c r="AV141" s="943"/>
      <c r="AW141" s="943"/>
      <c r="AX141" s="943"/>
      <c r="AY141" s="943"/>
      <c r="AZ141" s="943"/>
      <c r="BA141" s="774"/>
    </row>
    <row r="142" spans="1:53" s="107" customFormat="1" ht="11.4">
      <c r="A142" s="809">
        <v>2</v>
      </c>
      <c r="B142" s="944"/>
      <c r="C142" s="945"/>
      <c r="D142" s="945" t="s">
        <v>1406</v>
      </c>
      <c r="E142" s="944"/>
      <c r="F142" s="944"/>
      <c r="G142" s="944"/>
      <c r="H142" s="944"/>
      <c r="I142" s="944"/>
      <c r="J142" s="944"/>
      <c r="K142" s="944"/>
      <c r="L142" s="946" t="s">
        <v>18</v>
      </c>
      <c r="M142" s="947" t="s">
        <v>512</v>
      </c>
      <c r="N142" s="948" t="s">
        <v>352</v>
      </c>
      <c r="O142" s="949">
        <v>1061.0899999999999</v>
      </c>
      <c r="P142" s="950">
        <v>2073.3200000000002</v>
      </c>
      <c r="Q142" s="950">
        <v>1123.6600000000001</v>
      </c>
      <c r="R142" s="950">
        <v>-949.66000000000008</v>
      </c>
      <c r="S142" s="949">
        <v>1224.03</v>
      </c>
      <c r="T142" s="949">
        <v>2987.09</v>
      </c>
      <c r="U142" s="949">
        <v>2987.09</v>
      </c>
      <c r="V142" s="949">
        <v>2987.09</v>
      </c>
      <c r="W142" s="949">
        <v>2987.09</v>
      </c>
      <c r="X142" s="949">
        <v>2987.09</v>
      </c>
      <c r="Y142" s="949">
        <v>2987.09</v>
      </c>
      <c r="Z142" s="949">
        <v>2987.09</v>
      </c>
      <c r="AA142" s="949">
        <v>2987.09</v>
      </c>
      <c r="AB142" s="949">
        <v>2987.09</v>
      </c>
      <c r="AC142" s="949">
        <v>2987.09</v>
      </c>
      <c r="AD142" s="949">
        <v>1299.04</v>
      </c>
      <c r="AE142" s="949">
        <v>1299.04</v>
      </c>
      <c r="AF142" s="949">
        <v>1299.04</v>
      </c>
      <c r="AG142" s="949">
        <v>1299.04</v>
      </c>
      <c r="AH142" s="949">
        <v>1299.04</v>
      </c>
      <c r="AI142" s="949">
        <v>1299.04</v>
      </c>
      <c r="AJ142" s="949">
        <v>1299.04</v>
      </c>
      <c r="AK142" s="949">
        <v>1299.04</v>
      </c>
      <c r="AL142" s="949">
        <v>1299.04</v>
      </c>
      <c r="AM142" s="949">
        <v>1299.04</v>
      </c>
      <c r="AN142" s="950">
        <v>6.1281177748911375</v>
      </c>
      <c r="AO142" s="950">
        <v>0</v>
      </c>
      <c r="AP142" s="950">
        <v>0</v>
      </c>
      <c r="AQ142" s="950">
        <v>0</v>
      </c>
      <c r="AR142" s="950">
        <v>0</v>
      </c>
      <c r="AS142" s="950">
        <v>0</v>
      </c>
      <c r="AT142" s="950">
        <v>0</v>
      </c>
      <c r="AU142" s="950">
        <v>0</v>
      </c>
      <c r="AV142" s="950">
        <v>0</v>
      </c>
      <c r="AW142" s="950">
        <v>0</v>
      </c>
      <c r="AX142" s="796"/>
      <c r="AY142" s="796"/>
      <c r="AZ142" s="796"/>
      <c r="BA142" s="951"/>
    </row>
    <row r="143" spans="1:53" ht="11.4">
      <c r="A143" s="809">
        <v>2</v>
      </c>
      <c r="B143" s="927"/>
      <c r="C143" s="952"/>
      <c r="D143" s="952" t="s">
        <v>1407</v>
      </c>
      <c r="E143" s="927"/>
      <c r="F143" s="927"/>
      <c r="G143" s="927"/>
      <c r="H143" s="927"/>
      <c r="I143" s="927"/>
      <c r="J143" s="927"/>
      <c r="K143" s="927"/>
      <c r="L143" s="953" t="s">
        <v>149</v>
      </c>
      <c r="M143" s="954" t="s">
        <v>513</v>
      </c>
      <c r="N143" s="955"/>
      <c r="O143" s="956"/>
      <c r="P143" s="956"/>
      <c r="Q143" s="956"/>
      <c r="R143" s="957">
        <v>0</v>
      </c>
      <c r="S143" s="956"/>
      <c r="T143" s="956"/>
      <c r="U143" s="956">
        <v>1</v>
      </c>
      <c r="V143" s="956">
        <v>1</v>
      </c>
      <c r="W143" s="956">
        <v>1</v>
      </c>
      <c r="X143" s="956">
        <v>1</v>
      </c>
      <c r="Y143" s="956">
        <v>1</v>
      </c>
      <c r="Z143" s="956">
        <v>1</v>
      </c>
      <c r="AA143" s="956">
        <v>1</v>
      </c>
      <c r="AB143" s="956">
        <v>1</v>
      </c>
      <c r="AC143" s="956">
        <v>1</v>
      </c>
      <c r="AD143" s="956">
        <v>1.0612999999999999</v>
      </c>
      <c r="AE143" s="956">
        <v>1</v>
      </c>
      <c r="AF143" s="956">
        <v>1</v>
      </c>
      <c r="AG143" s="956">
        <v>1</v>
      </c>
      <c r="AH143" s="956">
        <v>1</v>
      </c>
      <c r="AI143" s="956">
        <v>1</v>
      </c>
      <c r="AJ143" s="956">
        <v>1</v>
      </c>
      <c r="AK143" s="956">
        <v>1</v>
      </c>
      <c r="AL143" s="956">
        <v>1</v>
      </c>
      <c r="AM143" s="956">
        <v>1</v>
      </c>
      <c r="AN143" s="388"/>
      <c r="AO143" s="388"/>
      <c r="AP143" s="388"/>
      <c r="AQ143" s="388"/>
      <c r="AR143" s="388"/>
      <c r="AS143" s="388"/>
      <c r="AT143" s="388"/>
      <c r="AU143" s="388"/>
      <c r="AV143" s="388"/>
      <c r="AW143" s="388"/>
      <c r="AX143" s="796"/>
      <c r="AY143" s="796"/>
      <c r="AZ143" s="796"/>
      <c r="BA143" s="927"/>
    </row>
    <row r="144" spans="1:53" s="106" customFormat="1" ht="20.399999999999999">
      <c r="A144" s="809">
        <v>2</v>
      </c>
      <c r="B144" s="951"/>
      <c r="C144" s="945"/>
      <c r="D144" s="945" t="s">
        <v>1408</v>
      </c>
      <c r="E144" s="951"/>
      <c r="F144" s="951"/>
      <c r="G144" s="951"/>
      <c r="H144" s="951"/>
      <c r="I144" s="951"/>
      <c r="J144" s="951"/>
      <c r="K144" s="951"/>
      <c r="L144" s="946" t="s">
        <v>150</v>
      </c>
      <c r="M144" s="958" t="s">
        <v>514</v>
      </c>
      <c r="N144" s="948" t="s">
        <v>352</v>
      </c>
      <c r="O144" s="466"/>
      <c r="P144" s="950">
        <v>2073.3200000000002</v>
      </c>
      <c r="Q144" s="950">
        <v>1123.6600000000001</v>
      </c>
      <c r="R144" s="950">
        <v>-949.66000000000008</v>
      </c>
      <c r="S144" s="466"/>
      <c r="T144" s="466"/>
      <c r="U144" s="466"/>
      <c r="V144" s="466"/>
      <c r="W144" s="466"/>
      <c r="X144" s="466"/>
      <c r="Y144" s="466"/>
      <c r="Z144" s="466"/>
      <c r="AA144" s="466"/>
      <c r="AB144" s="466"/>
      <c r="AC144" s="466"/>
      <c r="AD144" s="466"/>
      <c r="AE144" s="466"/>
      <c r="AF144" s="466"/>
      <c r="AG144" s="466"/>
      <c r="AH144" s="466"/>
      <c r="AI144" s="466"/>
      <c r="AJ144" s="466"/>
      <c r="AK144" s="466"/>
      <c r="AL144" s="466"/>
      <c r="AM144" s="466"/>
      <c r="AN144" s="466"/>
      <c r="AO144" s="466"/>
      <c r="AP144" s="466"/>
      <c r="AQ144" s="466"/>
      <c r="AR144" s="466"/>
      <c r="AS144" s="466"/>
      <c r="AT144" s="466"/>
      <c r="AU144" s="466"/>
      <c r="AV144" s="466"/>
      <c r="AW144" s="466"/>
      <c r="AX144" s="959"/>
      <c r="AY144" s="959"/>
      <c r="AZ144" s="959"/>
      <c r="BA144" s="951"/>
    </row>
    <row r="145" spans="1:53" ht="22.8">
      <c r="A145" s="809">
        <v>2</v>
      </c>
      <c r="B145" s="927"/>
      <c r="C145" s="952"/>
      <c r="D145" s="952" t="s">
        <v>1409</v>
      </c>
      <c r="E145" s="927"/>
      <c r="F145" s="927"/>
      <c r="G145" s="927"/>
      <c r="H145" s="927"/>
      <c r="I145" s="927"/>
      <c r="J145" s="927"/>
      <c r="K145" s="927"/>
      <c r="L145" s="953" t="s">
        <v>515</v>
      </c>
      <c r="M145" s="960" t="s">
        <v>516</v>
      </c>
      <c r="N145" s="881" t="s">
        <v>352</v>
      </c>
      <c r="O145" s="388"/>
      <c r="P145" s="961">
        <v>0</v>
      </c>
      <c r="Q145" s="961">
        <v>0</v>
      </c>
      <c r="R145" s="961">
        <v>0</v>
      </c>
      <c r="S145" s="388"/>
      <c r="T145" s="388"/>
      <c r="U145" s="388"/>
      <c r="V145" s="388"/>
      <c r="W145" s="388"/>
      <c r="X145" s="388"/>
      <c r="Y145" s="388"/>
      <c r="Z145" s="388"/>
      <c r="AA145" s="388"/>
      <c r="AB145" s="388"/>
      <c r="AC145" s="388"/>
      <c r="AD145" s="388"/>
      <c r="AE145" s="388"/>
      <c r="AF145" s="388"/>
      <c r="AG145" s="388"/>
      <c r="AH145" s="388"/>
      <c r="AI145" s="388"/>
      <c r="AJ145" s="388"/>
      <c r="AK145" s="388"/>
      <c r="AL145" s="388"/>
      <c r="AM145" s="388"/>
      <c r="AN145" s="388"/>
      <c r="AO145" s="388"/>
      <c r="AP145" s="388"/>
      <c r="AQ145" s="388"/>
      <c r="AR145" s="388"/>
      <c r="AS145" s="388"/>
      <c r="AT145" s="388"/>
      <c r="AU145" s="388"/>
      <c r="AV145" s="388"/>
      <c r="AW145" s="388"/>
      <c r="AX145" s="796"/>
      <c r="AY145" s="796"/>
      <c r="AZ145" s="796"/>
      <c r="BA145" s="962"/>
    </row>
    <row r="146" spans="1:53" ht="11.4">
      <c r="A146" s="809">
        <v>2</v>
      </c>
      <c r="B146" s="927"/>
      <c r="C146" s="952"/>
      <c r="D146" s="952" t="s">
        <v>1508</v>
      </c>
      <c r="E146" s="927"/>
      <c r="F146" s="927"/>
      <c r="G146" s="927"/>
      <c r="H146" s="927"/>
      <c r="I146" s="927"/>
      <c r="J146" s="927"/>
      <c r="K146" s="927"/>
      <c r="L146" s="953" t="s">
        <v>517</v>
      </c>
      <c r="M146" s="963" t="s">
        <v>518</v>
      </c>
      <c r="N146" s="964" t="s">
        <v>352</v>
      </c>
      <c r="O146" s="388"/>
      <c r="P146" s="811"/>
      <c r="Q146" s="811"/>
      <c r="R146" s="961">
        <v>0</v>
      </c>
      <c r="S146" s="388"/>
      <c r="T146" s="388"/>
      <c r="U146" s="388"/>
      <c r="V146" s="388"/>
      <c r="W146" s="388"/>
      <c r="X146" s="388"/>
      <c r="Y146" s="388"/>
      <c r="Z146" s="388"/>
      <c r="AA146" s="388"/>
      <c r="AB146" s="388"/>
      <c r="AC146" s="388"/>
      <c r="AD146" s="388"/>
      <c r="AE146" s="388"/>
      <c r="AF146" s="388"/>
      <c r="AG146" s="388"/>
      <c r="AH146" s="388"/>
      <c r="AI146" s="388"/>
      <c r="AJ146" s="388"/>
      <c r="AK146" s="388"/>
      <c r="AL146" s="388"/>
      <c r="AM146" s="388"/>
      <c r="AN146" s="388"/>
      <c r="AO146" s="388"/>
      <c r="AP146" s="388"/>
      <c r="AQ146" s="388"/>
      <c r="AR146" s="388"/>
      <c r="AS146" s="388"/>
      <c r="AT146" s="388"/>
      <c r="AU146" s="388"/>
      <c r="AV146" s="388"/>
      <c r="AW146" s="388"/>
      <c r="AX146" s="796"/>
      <c r="AY146" s="796"/>
      <c r="AZ146" s="796"/>
      <c r="BA146" s="927"/>
    </row>
    <row r="147" spans="1:53" ht="11.4">
      <c r="A147" s="809">
        <v>2</v>
      </c>
      <c r="B147" s="927"/>
      <c r="C147" s="952"/>
      <c r="D147" s="952" t="s">
        <v>1509</v>
      </c>
      <c r="E147" s="927"/>
      <c r="F147" s="927"/>
      <c r="G147" s="927"/>
      <c r="H147" s="927"/>
      <c r="I147" s="927"/>
      <c r="J147" s="927"/>
      <c r="K147" s="927"/>
      <c r="L147" s="953" t="s">
        <v>519</v>
      </c>
      <c r="M147" s="965" t="s">
        <v>520</v>
      </c>
      <c r="N147" s="964" t="s">
        <v>352</v>
      </c>
      <c r="O147" s="388"/>
      <c r="P147" s="811"/>
      <c r="Q147" s="811"/>
      <c r="R147" s="961">
        <v>0</v>
      </c>
      <c r="S147" s="388"/>
      <c r="T147" s="388"/>
      <c r="U147" s="388"/>
      <c r="V147" s="388"/>
      <c r="W147" s="388"/>
      <c r="X147" s="388"/>
      <c r="Y147" s="388"/>
      <c r="Z147" s="388"/>
      <c r="AA147" s="388"/>
      <c r="AB147" s="388"/>
      <c r="AC147" s="388"/>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796"/>
      <c r="AY147" s="796"/>
      <c r="AZ147" s="796"/>
      <c r="BA147" s="927"/>
    </row>
    <row r="148" spans="1:53" ht="22.8">
      <c r="A148" s="809">
        <v>2</v>
      </c>
      <c r="B148" s="927"/>
      <c r="C148" s="952"/>
      <c r="D148" s="952" t="s">
        <v>1410</v>
      </c>
      <c r="E148" s="927"/>
      <c r="F148" s="927"/>
      <c r="G148" s="927"/>
      <c r="H148" s="927"/>
      <c r="I148" s="927"/>
      <c r="J148" s="927"/>
      <c r="K148" s="927"/>
      <c r="L148" s="953" t="s">
        <v>521</v>
      </c>
      <c r="M148" s="960" t="s">
        <v>522</v>
      </c>
      <c r="N148" s="881" t="s">
        <v>352</v>
      </c>
      <c r="O148" s="388"/>
      <c r="P148" s="811"/>
      <c r="Q148" s="811"/>
      <c r="R148" s="961">
        <v>0</v>
      </c>
      <c r="S148" s="388"/>
      <c r="T148" s="388"/>
      <c r="U148" s="388"/>
      <c r="V148" s="388"/>
      <c r="W148" s="388"/>
      <c r="X148" s="388"/>
      <c r="Y148" s="388"/>
      <c r="Z148" s="388"/>
      <c r="AA148" s="388"/>
      <c r="AB148" s="388"/>
      <c r="AC148" s="388"/>
      <c r="AD148" s="388"/>
      <c r="AE148" s="388"/>
      <c r="AF148" s="388"/>
      <c r="AG148" s="388"/>
      <c r="AH148" s="388"/>
      <c r="AI148" s="388"/>
      <c r="AJ148" s="388"/>
      <c r="AK148" s="388"/>
      <c r="AL148" s="388"/>
      <c r="AM148" s="388"/>
      <c r="AN148" s="388"/>
      <c r="AO148" s="388"/>
      <c r="AP148" s="388"/>
      <c r="AQ148" s="388"/>
      <c r="AR148" s="388"/>
      <c r="AS148" s="388"/>
      <c r="AT148" s="388"/>
      <c r="AU148" s="388"/>
      <c r="AV148" s="388"/>
      <c r="AW148" s="388"/>
      <c r="AX148" s="796"/>
      <c r="AY148" s="796"/>
      <c r="AZ148" s="796"/>
      <c r="BA148" s="927"/>
    </row>
    <row r="149" spans="1:53" ht="34.200000000000003">
      <c r="A149" s="809">
        <v>2</v>
      </c>
      <c r="B149" s="927"/>
      <c r="C149" s="952"/>
      <c r="D149" s="952" t="s">
        <v>1422</v>
      </c>
      <c r="E149" s="927"/>
      <c r="F149" s="927"/>
      <c r="G149" s="927"/>
      <c r="H149" s="927"/>
      <c r="I149" s="927"/>
      <c r="J149" s="927"/>
      <c r="K149" s="927"/>
      <c r="L149" s="953" t="s">
        <v>523</v>
      </c>
      <c r="M149" s="960" t="s">
        <v>1612</v>
      </c>
      <c r="N149" s="964" t="s">
        <v>352</v>
      </c>
      <c r="O149" s="388"/>
      <c r="P149" s="388">
        <v>0</v>
      </c>
      <c r="Q149" s="388">
        <v>0</v>
      </c>
      <c r="R149" s="961">
        <v>0</v>
      </c>
      <c r="S149" s="388"/>
      <c r="T149" s="388"/>
      <c r="U149" s="388"/>
      <c r="V149" s="388"/>
      <c r="W149" s="388"/>
      <c r="X149" s="388"/>
      <c r="Y149" s="388"/>
      <c r="Z149" s="388"/>
      <c r="AA149" s="388"/>
      <c r="AB149" s="388"/>
      <c r="AC149" s="388"/>
      <c r="AD149" s="388"/>
      <c r="AE149" s="388"/>
      <c r="AF149" s="388"/>
      <c r="AG149" s="388"/>
      <c r="AH149" s="388"/>
      <c r="AI149" s="388"/>
      <c r="AJ149" s="388"/>
      <c r="AK149" s="388"/>
      <c r="AL149" s="388"/>
      <c r="AM149" s="388"/>
      <c r="AN149" s="388"/>
      <c r="AO149" s="388"/>
      <c r="AP149" s="388"/>
      <c r="AQ149" s="388"/>
      <c r="AR149" s="388"/>
      <c r="AS149" s="388"/>
      <c r="AT149" s="388"/>
      <c r="AU149" s="388"/>
      <c r="AV149" s="388"/>
      <c r="AW149" s="388"/>
      <c r="AX149" s="796"/>
      <c r="AY149" s="796"/>
      <c r="AZ149" s="796"/>
      <c r="BA149" s="927"/>
    </row>
    <row r="150" spans="1:53" ht="11.4">
      <c r="A150" s="809">
        <v>2</v>
      </c>
      <c r="B150" s="966" t="s">
        <v>1510</v>
      </c>
      <c r="C150" s="952"/>
      <c r="D150" s="952" t="s">
        <v>1423</v>
      </c>
      <c r="E150" s="927"/>
      <c r="F150" s="927"/>
      <c r="G150" s="927"/>
      <c r="H150" s="927"/>
      <c r="I150" s="927"/>
      <c r="J150" s="927"/>
      <c r="K150" s="927"/>
      <c r="L150" s="953" t="s">
        <v>524</v>
      </c>
      <c r="M150" s="963" t="s">
        <v>525</v>
      </c>
      <c r="N150" s="881" t="s">
        <v>352</v>
      </c>
      <c r="O150" s="388"/>
      <c r="P150" s="811"/>
      <c r="Q150" s="811"/>
      <c r="R150" s="961">
        <v>0</v>
      </c>
      <c r="S150" s="388"/>
      <c r="T150" s="388"/>
      <c r="U150" s="388"/>
      <c r="V150" s="388"/>
      <c r="W150" s="388"/>
      <c r="X150" s="388"/>
      <c r="Y150" s="388"/>
      <c r="Z150" s="388"/>
      <c r="AA150" s="388"/>
      <c r="AB150" s="388"/>
      <c r="AC150" s="388"/>
      <c r="AD150" s="388"/>
      <c r="AE150" s="388"/>
      <c r="AF150" s="388"/>
      <c r="AG150" s="388"/>
      <c r="AH150" s="388"/>
      <c r="AI150" s="388"/>
      <c r="AJ150" s="388"/>
      <c r="AK150" s="388"/>
      <c r="AL150" s="388"/>
      <c r="AM150" s="388"/>
      <c r="AN150" s="388"/>
      <c r="AO150" s="388"/>
      <c r="AP150" s="388"/>
      <c r="AQ150" s="388"/>
      <c r="AR150" s="388"/>
      <c r="AS150" s="388"/>
      <c r="AT150" s="388"/>
      <c r="AU150" s="388"/>
      <c r="AV150" s="388"/>
      <c r="AW150" s="388"/>
      <c r="AX150" s="796"/>
      <c r="AY150" s="796"/>
      <c r="AZ150" s="796"/>
      <c r="BA150" s="927"/>
    </row>
    <row r="151" spans="1:53" ht="22.8">
      <c r="A151" s="809">
        <v>2</v>
      </c>
      <c r="B151" s="966" t="s">
        <v>1511</v>
      </c>
      <c r="C151" s="952"/>
      <c r="D151" s="952" t="s">
        <v>1424</v>
      </c>
      <c r="E151" s="927"/>
      <c r="F151" s="927"/>
      <c r="G151" s="927"/>
      <c r="H151" s="927"/>
      <c r="I151" s="927"/>
      <c r="J151" s="927"/>
      <c r="K151" s="927"/>
      <c r="L151" s="953" t="s">
        <v>526</v>
      </c>
      <c r="M151" s="963" t="s">
        <v>1613</v>
      </c>
      <c r="N151" s="964" t="s">
        <v>352</v>
      </c>
      <c r="O151" s="388"/>
      <c r="P151" s="811">
        <v>0</v>
      </c>
      <c r="Q151" s="811">
        <v>0</v>
      </c>
      <c r="R151" s="961">
        <v>0</v>
      </c>
      <c r="S151" s="388"/>
      <c r="T151" s="388"/>
      <c r="U151" s="388"/>
      <c r="V151" s="388"/>
      <c r="W151" s="388"/>
      <c r="X151" s="388"/>
      <c r="Y151" s="388"/>
      <c r="Z151" s="388"/>
      <c r="AA151" s="388"/>
      <c r="AB151" s="388"/>
      <c r="AC151" s="388"/>
      <c r="AD151" s="388"/>
      <c r="AE151" s="388"/>
      <c r="AF151" s="388"/>
      <c r="AG151" s="388"/>
      <c r="AH151" s="388"/>
      <c r="AI151" s="388"/>
      <c r="AJ151" s="388"/>
      <c r="AK151" s="388"/>
      <c r="AL151" s="388"/>
      <c r="AM151" s="388"/>
      <c r="AN151" s="388"/>
      <c r="AO151" s="388"/>
      <c r="AP151" s="388"/>
      <c r="AQ151" s="388"/>
      <c r="AR151" s="388"/>
      <c r="AS151" s="388"/>
      <c r="AT151" s="388"/>
      <c r="AU151" s="388"/>
      <c r="AV151" s="388"/>
      <c r="AW151" s="388"/>
      <c r="AX151" s="796"/>
      <c r="AY151" s="796"/>
      <c r="AZ151" s="796"/>
      <c r="BA151" s="927"/>
    </row>
    <row r="152" spans="1:53" ht="11.4">
      <c r="A152" s="809">
        <v>2</v>
      </c>
      <c r="B152" s="927"/>
      <c r="C152" s="952"/>
      <c r="D152" s="952" t="s">
        <v>1426</v>
      </c>
      <c r="E152" s="927"/>
      <c r="F152" s="927"/>
      <c r="G152" s="927"/>
      <c r="H152" s="927"/>
      <c r="I152" s="927"/>
      <c r="J152" s="927"/>
      <c r="K152" s="927"/>
      <c r="L152" s="953" t="s">
        <v>527</v>
      </c>
      <c r="M152" s="960" t="s">
        <v>528</v>
      </c>
      <c r="N152" s="881" t="s">
        <v>352</v>
      </c>
      <c r="O152" s="388"/>
      <c r="P152" s="811"/>
      <c r="Q152" s="811"/>
      <c r="R152" s="961">
        <v>0</v>
      </c>
      <c r="S152" s="388"/>
      <c r="T152" s="388"/>
      <c r="U152" s="388"/>
      <c r="V152" s="388"/>
      <c r="W152" s="388"/>
      <c r="X152" s="388"/>
      <c r="Y152" s="388"/>
      <c r="Z152" s="388"/>
      <c r="AA152" s="388"/>
      <c r="AB152" s="388"/>
      <c r="AC152" s="388"/>
      <c r="AD152" s="388"/>
      <c r="AE152" s="388"/>
      <c r="AF152" s="388"/>
      <c r="AG152" s="388"/>
      <c r="AH152" s="388"/>
      <c r="AI152" s="388"/>
      <c r="AJ152" s="388"/>
      <c r="AK152" s="388"/>
      <c r="AL152" s="388"/>
      <c r="AM152" s="388"/>
      <c r="AN152" s="388"/>
      <c r="AO152" s="388"/>
      <c r="AP152" s="388"/>
      <c r="AQ152" s="388"/>
      <c r="AR152" s="388"/>
      <c r="AS152" s="388"/>
      <c r="AT152" s="388"/>
      <c r="AU152" s="388"/>
      <c r="AV152" s="388"/>
      <c r="AW152" s="388"/>
      <c r="AX152" s="796"/>
      <c r="AY152" s="796"/>
      <c r="AZ152" s="796"/>
      <c r="BA152" s="927"/>
    </row>
    <row r="153" spans="1:53" ht="11.4">
      <c r="A153" s="809">
        <v>2</v>
      </c>
      <c r="B153" s="927"/>
      <c r="C153" s="952"/>
      <c r="D153" s="952" t="s">
        <v>1427</v>
      </c>
      <c r="E153" s="927"/>
      <c r="F153" s="927"/>
      <c r="G153" s="927"/>
      <c r="H153" s="927"/>
      <c r="I153" s="927"/>
      <c r="J153" s="927"/>
      <c r="K153" s="927"/>
      <c r="L153" s="953" t="s">
        <v>529</v>
      </c>
      <c r="M153" s="967" t="s">
        <v>530</v>
      </c>
      <c r="N153" s="955" t="s">
        <v>352</v>
      </c>
      <c r="O153" s="388"/>
      <c r="P153" s="961">
        <v>2073.3200000000002</v>
      </c>
      <c r="Q153" s="961">
        <v>1123.6600000000001</v>
      </c>
      <c r="R153" s="961">
        <v>-949.66000000000008</v>
      </c>
      <c r="S153" s="388"/>
      <c r="T153" s="388"/>
      <c r="U153" s="388"/>
      <c r="V153" s="388"/>
      <c r="W153" s="388"/>
      <c r="X153" s="388"/>
      <c r="Y153" s="388"/>
      <c r="Z153" s="388"/>
      <c r="AA153" s="388"/>
      <c r="AB153" s="388"/>
      <c r="AC153" s="388"/>
      <c r="AD153" s="388"/>
      <c r="AE153" s="388"/>
      <c r="AF153" s="388"/>
      <c r="AG153" s="388"/>
      <c r="AH153" s="388"/>
      <c r="AI153" s="388"/>
      <c r="AJ153" s="388"/>
      <c r="AK153" s="388"/>
      <c r="AL153" s="388"/>
      <c r="AM153" s="388"/>
      <c r="AN153" s="388"/>
      <c r="AO153" s="388"/>
      <c r="AP153" s="388"/>
      <c r="AQ153" s="388"/>
      <c r="AR153" s="388"/>
      <c r="AS153" s="388"/>
      <c r="AT153" s="388"/>
      <c r="AU153" s="388"/>
      <c r="AV153" s="388"/>
      <c r="AW153" s="388"/>
      <c r="AX153" s="796"/>
      <c r="AY153" s="796"/>
      <c r="AZ153" s="796"/>
      <c r="BA153" s="927"/>
    </row>
    <row r="154" spans="1:53" ht="11.4">
      <c r="A154" s="809">
        <v>2</v>
      </c>
      <c r="B154" s="927"/>
      <c r="C154" s="952"/>
      <c r="D154" s="952" t="s">
        <v>1512</v>
      </c>
      <c r="E154" s="927"/>
      <c r="F154" s="927"/>
      <c r="G154" s="927"/>
      <c r="H154" s="927"/>
      <c r="I154" s="927"/>
      <c r="J154" s="927"/>
      <c r="K154" s="927"/>
      <c r="L154" s="953" t="s">
        <v>531</v>
      </c>
      <c r="M154" s="965" t="s">
        <v>532</v>
      </c>
      <c r="N154" s="955" t="s">
        <v>352</v>
      </c>
      <c r="O154" s="388"/>
      <c r="P154" s="811"/>
      <c r="Q154" s="811"/>
      <c r="R154" s="961">
        <v>0</v>
      </c>
      <c r="S154" s="388"/>
      <c r="T154" s="388"/>
      <c r="U154" s="388"/>
      <c r="V154" s="388"/>
      <c r="W154" s="388"/>
      <c r="X154" s="388"/>
      <c r="Y154" s="388"/>
      <c r="Z154" s="388"/>
      <c r="AA154" s="388"/>
      <c r="AB154" s="388"/>
      <c r="AC154" s="388"/>
      <c r="AD154" s="388"/>
      <c r="AE154" s="388"/>
      <c r="AF154" s="388"/>
      <c r="AG154" s="388"/>
      <c r="AH154" s="388"/>
      <c r="AI154" s="388"/>
      <c r="AJ154" s="388"/>
      <c r="AK154" s="388"/>
      <c r="AL154" s="388"/>
      <c r="AM154" s="388"/>
      <c r="AN154" s="388"/>
      <c r="AO154" s="388"/>
      <c r="AP154" s="388"/>
      <c r="AQ154" s="388"/>
      <c r="AR154" s="388"/>
      <c r="AS154" s="388"/>
      <c r="AT154" s="388"/>
      <c r="AU154" s="388"/>
      <c r="AV154" s="388"/>
      <c r="AW154" s="388"/>
      <c r="AX154" s="796"/>
      <c r="AY154" s="796"/>
      <c r="AZ154" s="796"/>
      <c r="BA154" s="927"/>
    </row>
    <row r="155" spans="1:53" ht="22.8">
      <c r="A155" s="809">
        <v>2</v>
      </c>
      <c r="B155" s="927"/>
      <c r="C155" s="952"/>
      <c r="D155" s="952" t="s">
        <v>1513</v>
      </c>
      <c r="E155" s="927"/>
      <c r="F155" s="927"/>
      <c r="G155" s="927"/>
      <c r="H155" s="927"/>
      <c r="I155" s="927"/>
      <c r="J155" s="927"/>
      <c r="K155" s="927"/>
      <c r="L155" s="953" t="s">
        <v>533</v>
      </c>
      <c r="M155" s="965" t="s">
        <v>534</v>
      </c>
      <c r="N155" s="955" t="s">
        <v>352</v>
      </c>
      <c r="O155" s="388"/>
      <c r="P155" s="811"/>
      <c r="Q155" s="811"/>
      <c r="R155" s="961">
        <v>0</v>
      </c>
      <c r="S155" s="388"/>
      <c r="T155" s="388"/>
      <c r="U155" s="388"/>
      <c r="V155" s="388"/>
      <c r="W155" s="388"/>
      <c r="X155" s="388"/>
      <c r="Y155" s="388"/>
      <c r="Z155" s="388"/>
      <c r="AA155" s="388"/>
      <c r="AB155" s="388"/>
      <c r="AC155" s="388"/>
      <c r="AD155" s="388"/>
      <c r="AE155" s="388"/>
      <c r="AF155" s="388"/>
      <c r="AG155" s="388"/>
      <c r="AH155" s="388"/>
      <c r="AI155" s="388"/>
      <c r="AJ155" s="388"/>
      <c r="AK155" s="388"/>
      <c r="AL155" s="388"/>
      <c r="AM155" s="388"/>
      <c r="AN155" s="388"/>
      <c r="AO155" s="388"/>
      <c r="AP155" s="388"/>
      <c r="AQ155" s="388"/>
      <c r="AR155" s="388"/>
      <c r="AS155" s="388"/>
      <c r="AT155" s="388"/>
      <c r="AU155" s="388"/>
      <c r="AV155" s="388"/>
      <c r="AW155" s="388"/>
      <c r="AX155" s="796"/>
      <c r="AY155" s="796"/>
      <c r="AZ155" s="796"/>
      <c r="BA155" s="927"/>
    </row>
    <row r="156" spans="1:53" ht="22.8">
      <c r="A156" s="809">
        <v>2</v>
      </c>
      <c r="B156" s="927"/>
      <c r="C156" s="952"/>
      <c r="D156" s="952" t="s">
        <v>1514</v>
      </c>
      <c r="E156" s="927"/>
      <c r="F156" s="927"/>
      <c r="G156" s="927"/>
      <c r="H156" s="927"/>
      <c r="I156" s="927"/>
      <c r="J156" s="927"/>
      <c r="K156" s="927"/>
      <c r="L156" s="953" t="s">
        <v>535</v>
      </c>
      <c r="M156" s="965" t="s">
        <v>536</v>
      </c>
      <c r="N156" s="955" t="s">
        <v>352</v>
      </c>
      <c r="O156" s="388"/>
      <c r="P156" s="811"/>
      <c r="Q156" s="811"/>
      <c r="R156" s="961">
        <v>0</v>
      </c>
      <c r="S156" s="388"/>
      <c r="T156" s="388"/>
      <c r="U156" s="388"/>
      <c r="V156" s="388"/>
      <c r="W156" s="388"/>
      <c r="X156" s="388"/>
      <c r="Y156" s="388"/>
      <c r="Z156" s="388"/>
      <c r="AA156" s="388"/>
      <c r="AB156" s="388"/>
      <c r="AC156" s="388"/>
      <c r="AD156" s="388"/>
      <c r="AE156" s="388"/>
      <c r="AF156" s="388"/>
      <c r="AG156" s="388"/>
      <c r="AH156" s="388"/>
      <c r="AI156" s="388"/>
      <c r="AJ156" s="388"/>
      <c r="AK156" s="388"/>
      <c r="AL156" s="388"/>
      <c r="AM156" s="388"/>
      <c r="AN156" s="388"/>
      <c r="AO156" s="388"/>
      <c r="AP156" s="388"/>
      <c r="AQ156" s="388"/>
      <c r="AR156" s="388"/>
      <c r="AS156" s="388"/>
      <c r="AT156" s="388"/>
      <c r="AU156" s="388"/>
      <c r="AV156" s="388"/>
      <c r="AW156" s="388"/>
      <c r="AX156" s="796"/>
      <c r="AY156" s="796"/>
      <c r="AZ156" s="796"/>
      <c r="BA156" s="927"/>
    </row>
    <row r="157" spans="1:53" ht="22.8">
      <c r="A157" s="809">
        <v>2</v>
      </c>
      <c r="B157" s="927"/>
      <c r="C157" s="952"/>
      <c r="D157" s="952" t="s">
        <v>1515</v>
      </c>
      <c r="E157" s="927"/>
      <c r="F157" s="927"/>
      <c r="G157" s="927"/>
      <c r="H157" s="927"/>
      <c r="I157" s="927"/>
      <c r="J157" s="927"/>
      <c r="K157" s="927"/>
      <c r="L157" s="953" t="s">
        <v>537</v>
      </c>
      <c r="M157" s="965" t="s">
        <v>538</v>
      </c>
      <c r="N157" s="955" t="s">
        <v>352</v>
      </c>
      <c r="O157" s="388"/>
      <c r="P157" s="811"/>
      <c r="Q157" s="811"/>
      <c r="R157" s="961">
        <v>0</v>
      </c>
      <c r="S157" s="388"/>
      <c r="T157" s="388"/>
      <c r="U157" s="388"/>
      <c r="V157" s="388"/>
      <c r="W157" s="388"/>
      <c r="X157" s="388"/>
      <c r="Y157" s="388"/>
      <c r="Z157" s="388"/>
      <c r="AA157" s="388"/>
      <c r="AB157" s="388"/>
      <c r="AC157" s="388"/>
      <c r="AD157" s="388"/>
      <c r="AE157" s="388"/>
      <c r="AF157" s="388"/>
      <c r="AG157" s="388"/>
      <c r="AH157" s="388"/>
      <c r="AI157" s="388"/>
      <c r="AJ157" s="388"/>
      <c r="AK157" s="388"/>
      <c r="AL157" s="388"/>
      <c r="AM157" s="388"/>
      <c r="AN157" s="388"/>
      <c r="AO157" s="388"/>
      <c r="AP157" s="388"/>
      <c r="AQ157" s="388"/>
      <c r="AR157" s="388"/>
      <c r="AS157" s="388"/>
      <c r="AT157" s="388"/>
      <c r="AU157" s="388"/>
      <c r="AV157" s="388"/>
      <c r="AW157" s="388"/>
      <c r="AX157" s="796"/>
      <c r="AY157" s="796"/>
      <c r="AZ157" s="796"/>
      <c r="BA157" s="927"/>
    </row>
    <row r="158" spans="1:53" ht="45.6">
      <c r="A158" s="809">
        <v>2</v>
      </c>
      <c r="B158" s="927"/>
      <c r="C158" s="952"/>
      <c r="D158" s="952" t="s">
        <v>1516</v>
      </c>
      <c r="E158" s="927"/>
      <c r="F158" s="927"/>
      <c r="G158" s="927"/>
      <c r="H158" s="927"/>
      <c r="I158" s="927"/>
      <c r="J158" s="927"/>
      <c r="K158" s="927"/>
      <c r="L158" s="953" t="s">
        <v>539</v>
      </c>
      <c r="M158" s="965" t="s">
        <v>540</v>
      </c>
      <c r="N158" s="955" t="s">
        <v>352</v>
      </c>
      <c r="O158" s="388"/>
      <c r="P158" s="811"/>
      <c r="Q158" s="811"/>
      <c r="R158" s="961">
        <v>0</v>
      </c>
      <c r="S158" s="388"/>
      <c r="T158" s="388"/>
      <c r="U158" s="388"/>
      <c r="V158" s="388"/>
      <c r="W158" s="388"/>
      <c r="X158" s="388"/>
      <c r="Y158" s="388"/>
      <c r="Z158" s="388"/>
      <c r="AA158" s="388"/>
      <c r="AB158" s="388"/>
      <c r="AC158" s="388"/>
      <c r="AD158" s="388"/>
      <c r="AE158" s="388"/>
      <c r="AF158" s="388"/>
      <c r="AG158" s="388"/>
      <c r="AH158" s="388"/>
      <c r="AI158" s="388"/>
      <c r="AJ158" s="388"/>
      <c r="AK158" s="388"/>
      <c r="AL158" s="388"/>
      <c r="AM158" s="388"/>
      <c r="AN158" s="388"/>
      <c r="AO158" s="388"/>
      <c r="AP158" s="388"/>
      <c r="AQ158" s="388"/>
      <c r="AR158" s="388"/>
      <c r="AS158" s="388"/>
      <c r="AT158" s="388"/>
      <c r="AU158" s="388"/>
      <c r="AV158" s="388"/>
      <c r="AW158" s="388"/>
      <c r="AX158" s="796"/>
      <c r="AY158" s="796"/>
      <c r="AZ158" s="796"/>
      <c r="BA158" s="927"/>
    </row>
    <row r="159" spans="1:53" ht="11.4">
      <c r="A159" s="809">
        <v>2</v>
      </c>
      <c r="B159" s="927"/>
      <c r="C159" s="952"/>
      <c r="D159" s="952" t="s">
        <v>1517</v>
      </c>
      <c r="E159" s="927"/>
      <c r="F159" s="927"/>
      <c r="G159" s="927"/>
      <c r="H159" s="927"/>
      <c r="I159" s="927"/>
      <c r="J159" s="927"/>
      <c r="K159" s="927"/>
      <c r="L159" s="953" t="s">
        <v>541</v>
      </c>
      <c r="M159" s="965" t="s">
        <v>542</v>
      </c>
      <c r="N159" s="955" t="s">
        <v>352</v>
      </c>
      <c r="O159" s="388"/>
      <c r="P159" s="811"/>
      <c r="Q159" s="811"/>
      <c r="R159" s="961">
        <v>0</v>
      </c>
      <c r="S159" s="388"/>
      <c r="T159" s="388"/>
      <c r="U159" s="388"/>
      <c r="V159" s="388"/>
      <c r="W159" s="388"/>
      <c r="X159" s="388"/>
      <c r="Y159" s="388"/>
      <c r="Z159" s="388"/>
      <c r="AA159" s="388"/>
      <c r="AB159" s="388"/>
      <c r="AC159" s="388"/>
      <c r="AD159" s="388"/>
      <c r="AE159" s="388"/>
      <c r="AF159" s="388"/>
      <c r="AG159" s="388"/>
      <c r="AH159" s="388"/>
      <c r="AI159" s="388"/>
      <c r="AJ159" s="388"/>
      <c r="AK159" s="388"/>
      <c r="AL159" s="388"/>
      <c r="AM159" s="388"/>
      <c r="AN159" s="388"/>
      <c r="AO159" s="388"/>
      <c r="AP159" s="388"/>
      <c r="AQ159" s="388"/>
      <c r="AR159" s="388"/>
      <c r="AS159" s="388"/>
      <c r="AT159" s="388"/>
      <c r="AU159" s="388"/>
      <c r="AV159" s="388"/>
      <c r="AW159" s="388"/>
      <c r="AX159" s="796"/>
      <c r="AY159" s="796"/>
      <c r="AZ159" s="796"/>
      <c r="BA159" s="927"/>
    </row>
    <row r="160" spans="1:53" ht="11.4">
      <c r="A160" s="809">
        <v>2</v>
      </c>
      <c r="B160" s="927"/>
      <c r="C160" s="952"/>
      <c r="D160" s="952" t="s">
        <v>1518</v>
      </c>
      <c r="E160" s="927"/>
      <c r="F160" s="927"/>
      <c r="G160" s="927"/>
      <c r="H160" s="927"/>
      <c r="I160" s="927"/>
      <c r="J160" s="927"/>
      <c r="K160" s="927"/>
      <c r="L160" s="953" t="s">
        <v>1403</v>
      </c>
      <c r="M160" s="965" t="s">
        <v>1404</v>
      </c>
      <c r="N160" s="955" t="s">
        <v>352</v>
      </c>
      <c r="O160" s="388"/>
      <c r="P160" s="811">
        <v>2073.3200000000002</v>
      </c>
      <c r="Q160" s="811">
        <v>1123.6600000000001</v>
      </c>
      <c r="R160" s="961">
        <v>-949.66000000000008</v>
      </c>
      <c r="S160" s="388"/>
      <c r="T160" s="388"/>
      <c r="U160" s="388"/>
      <c r="V160" s="388"/>
      <c r="W160" s="388"/>
      <c r="X160" s="388"/>
      <c r="Y160" s="388"/>
      <c r="Z160" s="388"/>
      <c r="AA160" s="388"/>
      <c r="AB160" s="388"/>
      <c r="AC160" s="388"/>
      <c r="AD160" s="388"/>
      <c r="AE160" s="388"/>
      <c r="AF160" s="388"/>
      <c r="AG160" s="388"/>
      <c r="AH160" s="388"/>
      <c r="AI160" s="388"/>
      <c r="AJ160" s="388"/>
      <c r="AK160" s="388"/>
      <c r="AL160" s="388"/>
      <c r="AM160" s="388"/>
      <c r="AN160" s="388"/>
      <c r="AO160" s="388"/>
      <c r="AP160" s="388"/>
      <c r="AQ160" s="388"/>
      <c r="AR160" s="388"/>
      <c r="AS160" s="388"/>
      <c r="AT160" s="388"/>
      <c r="AU160" s="388"/>
      <c r="AV160" s="388"/>
      <c r="AW160" s="388"/>
      <c r="AX160" s="796"/>
      <c r="AY160" s="796"/>
      <c r="AZ160" s="796"/>
      <c r="BA160" s="927"/>
    </row>
    <row r="161" spans="1:53" s="109" customFormat="1" ht="11.4">
      <c r="A161" s="809">
        <v>2</v>
      </c>
      <c r="B161" s="968"/>
      <c r="C161" s="952"/>
      <c r="D161" s="952" t="s">
        <v>1519</v>
      </c>
      <c r="E161" s="968"/>
      <c r="F161" s="968"/>
      <c r="G161" s="968"/>
      <c r="H161" s="968"/>
      <c r="I161" s="968"/>
      <c r="J161" s="968"/>
      <c r="K161" s="968"/>
      <c r="L161" s="969" t="s">
        <v>360</v>
      </c>
      <c r="M161" s="970" t="s">
        <v>543</v>
      </c>
      <c r="N161" s="971" t="s">
        <v>352</v>
      </c>
      <c r="O161" s="466"/>
      <c r="P161" s="466">
        <v>0</v>
      </c>
      <c r="Q161" s="466">
        <v>0</v>
      </c>
      <c r="R161" s="950">
        <v>0</v>
      </c>
      <c r="S161" s="466"/>
      <c r="T161" s="466"/>
      <c r="U161" s="466"/>
      <c r="V161" s="466"/>
      <c r="W161" s="466"/>
      <c r="X161" s="466"/>
      <c r="Y161" s="466"/>
      <c r="Z161" s="466"/>
      <c r="AA161" s="466"/>
      <c r="AB161" s="466"/>
      <c r="AC161" s="466"/>
      <c r="AD161" s="466"/>
      <c r="AE161" s="466"/>
      <c r="AF161" s="466"/>
      <c r="AG161" s="466"/>
      <c r="AH161" s="466"/>
      <c r="AI161" s="466"/>
      <c r="AJ161" s="466"/>
      <c r="AK161" s="466"/>
      <c r="AL161" s="466"/>
      <c r="AM161" s="466"/>
      <c r="AN161" s="466"/>
      <c r="AO161" s="466"/>
      <c r="AP161" s="466"/>
      <c r="AQ161" s="466"/>
      <c r="AR161" s="466"/>
      <c r="AS161" s="466"/>
      <c r="AT161" s="466"/>
      <c r="AU161" s="466"/>
      <c r="AV161" s="466"/>
      <c r="AW161" s="466"/>
      <c r="AX161" s="959"/>
      <c r="AY161" s="959"/>
      <c r="AZ161" s="959"/>
      <c r="BA161" s="968"/>
    </row>
    <row r="162" spans="1:53" ht="22.8">
      <c r="A162" s="809">
        <v>2</v>
      </c>
      <c r="B162" s="927"/>
      <c r="C162" s="952"/>
      <c r="D162" s="952" t="s">
        <v>1520</v>
      </c>
      <c r="E162" s="927"/>
      <c r="F162" s="927"/>
      <c r="G162" s="927"/>
      <c r="H162" s="927"/>
      <c r="I162" s="927"/>
      <c r="J162" s="927"/>
      <c r="K162" s="927"/>
      <c r="L162" s="953" t="s">
        <v>544</v>
      </c>
      <c r="M162" s="960" t="s">
        <v>545</v>
      </c>
      <c r="N162" s="955" t="s">
        <v>352</v>
      </c>
      <c r="O162" s="388"/>
      <c r="P162" s="811"/>
      <c r="Q162" s="811"/>
      <c r="R162" s="961">
        <v>0</v>
      </c>
      <c r="S162" s="388"/>
      <c r="T162" s="388"/>
      <c r="U162" s="388"/>
      <c r="V162" s="388"/>
      <c r="W162" s="388"/>
      <c r="X162" s="388"/>
      <c r="Y162" s="388"/>
      <c r="Z162" s="388"/>
      <c r="AA162" s="388"/>
      <c r="AB162" s="388"/>
      <c r="AC162" s="388"/>
      <c r="AD162" s="388"/>
      <c r="AE162" s="388"/>
      <c r="AF162" s="388"/>
      <c r="AG162" s="388"/>
      <c r="AH162" s="388"/>
      <c r="AI162" s="388"/>
      <c r="AJ162" s="388"/>
      <c r="AK162" s="388"/>
      <c r="AL162" s="388"/>
      <c r="AM162" s="388"/>
      <c r="AN162" s="388"/>
      <c r="AO162" s="388"/>
      <c r="AP162" s="388"/>
      <c r="AQ162" s="388"/>
      <c r="AR162" s="388"/>
      <c r="AS162" s="388"/>
      <c r="AT162" s="388"/>
      <c r="AU162" s="388"/>
      <c r="AV162" s="388"/>
      <c r="AW162" s="388"/>
      <c r="AX162" s="796"/>
      <c r="AY162" s="796"/>
      <c r="AZ162" s="796"/>
      <c r="BA162" s="927"/>
    </row>
    <row r="163" spans="1:53" ht="34.200000000000003">
      <c r="A163" s="809">
        <v>2</v>
      </c>
      <c r="B163" s="927"/>
      <c r="C163" s="952"/>
      <c r="D163" s="952" t="s">
        <v>1521</v>
      </c>
      <c r="E163" s="927"/>
      <c r="F163" s="927"/>
      <c r="G163" s="927"/>
      <c r="H163" s="927"/>
      <c r="I163" s="927"/>
      <c r="J163" s="927"/>
      <c r="K163" s="927"/>
      <c r="L163" s="953" t="s">
        <v>546</v>
      </c>
      <c r="M163" s="967" t="s">
        <v>547</v>
      </c>
      <c r="N163" s="955" t="s">
        <v>352</v>
      </c>
      <c r="O163" s="388"/>
      <c r="P163" s="811"/>
      <c r="Q163" s="811"/>
      <c r="R163" s="961">
        <v>0</v>
      </c>
      <c r="S163" s="388"/>
      <c r="T163" s="388"/>
      <c r="U163" s="388"/>
      <c r="V163" s="388"/>
      <c r="W163" s="388"/>
      <c r="X163" s="388"/>
      <c r="Y163" s="388"/>
      <c r="Z163" s="388"/>
      <c r="AA163" s="388"/>
      <c r="AB163" s="388"/>
      <c r="AC163" s="388"/>
      <c r="AD163" s="388"/>
      <c r="AE163" s="388"/>
      <c r="AF163" s="388"/>
      <c r="AG163" s="388"/>
      <c r="AH163" s="388"/>
      <c r="AI163" s="388"/>
      <c r="AJ163" s="388"/>
      <c r="AK163" s="388"/>
      <c r="AL163" s="388"/>
      <c r="AM163" s="388"/>
      <c r="AN163" s="388"/>
      <c r="AO163" s="388"/>
      <c r="AP163" s="388"/>
      <c r="AQ163" s="388"/>
      <c r="AR163" s="388"/>
      <c r="AS163" s="388"/>
      <c r="AT163" s="388"/>
      <c r="AU163" s="388"/>
      <c r="AV163" s="388"/>
      <c r="AW163" s="388"/>
      <c r="AX163" s="796"/>
      <c r="AY163" s="796"/>
      <c r="AZ163" s="796"/>
      <c r="BA163" s="927"/>
    </row>
    <row r="164" spans="1:53" ht="22.8">
      <c r="A164" s="809">
        <v>2</v>
      </c>
      <c r="B164" s="927"/>
      <c r="C164" s="952"/>
      <c r="D164" s="952" t="s">
        <v>1522</v>
      </c>
      <c r="E164" s="927"/>
      <c r="F164" s="927"/>
      <c r="G164" s="927"/>
      <c r="H164" s="927"/>
      <c r="I164" s="927"/>
      <c r="J164" s="927"/>
      <c r="K164" s="927"/>
      <c r="L164" s="953" t="s">
        <v>548</v>
      </c>
      <c r="M164" s="967" t="s">
        <v>1614</v>
      </c>
      <c r="N164" s="955" t="s">
        <v>352</v>
      </c>
      <c r="O164" s="388"/>
      <c r="P164" s="811"/>
      <c r="Q164" s="811"/>
      <c r="R164" s="961">
        <v>0</v>
      </c>
      <c r="S164" s="388"/>
      <c r="T164" s="388"/>
      <c r="U164" s="388"/>
      <c r="V164" s="388"/>
      <c r="W164" s="388"/>
      <c r="X164" s="388"/>
      <c r="Y164" s="388"/>
      <c r="Z164" s="388"/>
      <c r="AA164" s="388"/>
      <c r="AB164" s="388"/>
      <c r="AC164" s="388"/>
      <c r="AD164" s="388"/>
      <c r="AE164" s="388"/>
      <c r="AF164" s="388"/>
      <c r="AG164" s="388"/>
      <c r="AH164" s="388"/>
      <c r="AI164" s="388"/>
      <c r="AJ164" s="388"/>
      <c r="AK164" s="388"/>
      <c r="AL164" s="388"/>
      <c r="AM164" s="388"/>
      <c r="AN164" s="388"/>
      <c r="AO164" s="388"/>
      <c r="AP164" s="388"/>
      <c r="AQ164" s="388"/>
      <c r="AR164" s="388"/>
      <c r="AS164" s="388"/>
      <c r="AT164" s="388"/>
      <c r="AU164" s="388"/>
      <c r="AV164" s="388"/>
      <c r="AW164" s="388"/>
      <c r="AX164" s="796"/>
      <c r="AY164" s="796"/>
      <c r="AZ164" s="796"/>
      <c r="BA164" s="927"/>
    </row>
    <row r="165" spans="1:53" ht="14.4">
      <c r="A165" s="809">
        <v>2</v>
      </c>
      <c r="B165" s="933" t="s">
        <v>1523</v>
      </c>
      <c r="C165" s="952"/>
      <c r="D165" s="952" t="s">
        <v>1524</v>
      </c>
      <c r="E165" s="927"/>
      <c r="F165" s="927"/>
      <c r="G165" s="927"/>
      <c r="H165" s="927"/>
      <c r="I165" s="927"/>
      <c r="J165" s="927"/>
      <c r="K165" s="927"/>
      <c r="L165" s="953" t="s">
        <v>1154</v>
      </c>
      <c r="M165" s="963" t="s">
        <v>549</v>
      </c>
      <c r="N165" s="955" t="s">
        <v>352</v>
      </c>
      <c r="O165" s="388"/>
      <c r="P165" s="811"/>
      <c r="Q165" s="811"/>
      <c r="R165" s="961">
        <v>0</v>
      </c>
      <c r="S165" s="388"/>
      <c r="T165" s="388"/>
      <c r="U165" s="388"/>
      <c r="V165" s="388"/>
      <c r="W165" s="388"/>
      <c r="X165" s="388"/>
      <c r="Y165" s="388"/>
      <c r="Z165" s="388"/>
      <c r="AA165" s="388"/>
      <c r="AB165" s="388"/>
      <c r="AC165" s="388"/>
      <c r="AD165" s="388"/>
      <c r="AE165" s="388"/>
      <c r="AF165" s="388"/>
      <c r="AG165" s="388"/>
      <c r="AH165" s="388"/>
      <c r="AI165" s="388"/>
      <c r="AJ165" s="388"/>
      <c r="AK165" s="388"/>
      <c r="AL165" s="388"/>
      <c r="AM165" s="388"/>
      <c r="AN165" s="388"/>
      <c r="AO165" s="388"/>
      <c r="AP165" s="388"/>
      <c r="AQ165" s="388"/>
      <c r="AR165" s="388"/>
      <c r="AS165" s="388"/>
      <c r="AT165" s="388"/>
      <c r="AU165" s="388"/>
      <c r="AV165" s="388"/>
      <c r="AW165" s="388"/>
      <c r="AX165" s="796"/>
      <c r="AY165" s="796"/>
      <c r="AZ165" s="796"/>
      <c r="BA165" s="927"/>
    </row>
    <row r="166" spans="1:53" ht="22.8">
      <c r="A166" s="809">
        <v>2</v>
      </c>
      <c r="B166" s="933" t="s">
        <v>1525</v>
      </c>
      <c r="C166" s="952"/>
      <c r="D166" s="952" t="s">
        <v>1526</v>
      </c>
      <c r="E166" s="927"/>
      <c r="F166" s="927"/>
      <c r="G166" s="927"/>
      <c r="H166" s="927"/>
      <c r="I166" s="927"/>
      <c r="J166" s="927"/>
      <c r="K166" s="927"/>
      <c r="L166" s="953" t="s">
        <v>1155</v>
      </c>
      <c r="M166" s="963" t="s">
        <v>1615</v>
      </c>
      <c r="N166" s="955" t="s">
        <v>352</v>
      </c>
      <c r="O166" s="388"/>
      <c r="P166" s="811">
        <v>0</v>
      </c>
      <c r="Q166" s="811">
        <v>0</v>
      </c>
      <c r="R166" s="961">
        <v>0</v>
      </c>
      <c r="S166" s="388"/>
      <c r="T166" s="388"/>
      <c r="U166" s="388"/>
      <c r="V166" s="388"/>
      <c r="W166" s="388"/>
      <c r="X166" s="388"/>
      <c r="Y166" s="388"/>
      <c r="Z166" s="388"/>
      <c r="AA166" s="388"/>
      <c r="AB166" s="388"/>
      <c r="AC166" s="388"/>
      <c r="AD166" s="388"/>
      <c r="AE166" s="388"/>
      <c r="AF166" s="388"/>
      <c r="AG166" s="388"/>
      <c r="AH166" s="388"/>
      <c r="AI166" s="388"/>
      <c r="AJ166" s="388"/>
      <c r="AK166" s="388"/>
      <c r="AL166" s="388"/>
      <c r="AM166" s="388"/>
      <c r="AN166" s="388"/>
      <c r="AO166" s="388"/>
      <c r="AP166" s="388"/>
      <c r="AQ166" s="388"/>
      <c r="AR166" s="388"/>
      <c r="AS166" s="388"/>
      <c r="AT166" s="388"/>
      <c r="AU166" s="388"/>
      <c r="AV166" s="388"/>
      <c r="AW166" s="388"/>
      <c r="AX166" s="796"/>
      <c r="AY166" s="796"/>
      <c r="AZ166" s="796"/>
      <c r="BA166" s="927"/>
    </row>
    <row r="167" spans="1:53" s="109" customFormat="1" ht="11.4">
      <c r="A167" s="809">
        <v>2</v>
      </c>
      <c r="B167" s="968"/>
      <c r="C167" s="952"/>
      <c r="D167" s="952" t="s">
        <v>1527</v>
      </c>
      <c r="E167" s="968"/>
      <c r="F167" s="968"/>
      <c r="G167" s="968"/>
      <c r="H167" s="968"/>
      <c r="I167" s="968"/>
      <c r="J167" s="968"/>
      <c r="K167" s="968"/>
      <c r="L167" s="969" t="s">
        <v>362</v>
      </c>
      <c r="M167" s="970" t="s">
        <v>550</v>
      </c>
      <c r="N167" s="971" t="s">
        <v>352</v>
      </c>
      <c r="O167" s="466"/>
      <c r="P167" s="466">
        <v>0</v>
      </c>
      <c r="Q167" s="466">
        <v>0</v>
      </c>
      <c r="R167" s="950">
        <v>0</v>
      </c>
      <c r="S167" s="466"/>
      <c r="T167" s="466"/>
      <c r="U167" s="466"/>
      <c r="V167" s="466"/>
      <c r="W167" s="466"/>
      <c r="X167" s="466"/>
      <c r="Y167" s="466"/>
      <c r="Z167" s="466"/>
      <c r="AA167" s="466"/>
      <c r="AB167" s="466"/>
      <c r="AC167" s="466"/>
      <c r="AD167" s="466"/>
      <c r="AE167" s="466"/>
      <c r="AF167" s="466"/>
      <c r="AG167" s="466"/>
      <c r="AH167" s="466"/>
      <c r="AI167" s="466"/>
      <c r="AJ167" s="466"/>
      <c r="AK167" s="466"/>
      <c r="AL167" s="466"/>
      <c r="AM167" s="466"/>
      <c r="AN167" s="466"/>
      <c r="AO167" s="466"/>
      <c r="AP167" s="466"/>
      <c r="AQ167" s="466"/>
      <c r="AR167" s="466"/>
      <c r="AS167" s="466"/>
      <c r="AT167" s="466"/>
      <c r="AU167" s="466"/>
      <c r="AV167" s="466"/>
      <c r="AW167" s="466"/>
      <c r="AX167" s="959"/>
      <c r="AY167" s="959"/>
      <c r="AZ167" s="959"/>
      <c r="BA167" s="968"/>
    </row>
    <row r="168" spans="1:53" ht="22.8">
      <c r="A168" s="809">
        <v>2</v>
      </c>
      <c r="B168" s="927" t="s">
        <v>1528</v>
      </c>
      <c r="C168" s="952"/>
      <c r="D168" s="952" t="s">
        <v>1529</v>
      </c>
      <c r="E168" s="927"/>
      <c r="F168" s="927"/>
      <c r="G168" s="927"/>
      <c r="H168" s="927"/>
      <c r="I168" s="927"/>
      <c r="J168" s="927"/>
      <c r="K168" s="927"/>
      <c r="L168" s="953" t="s">
        <v>551</v>
      </c>
      <c r="M168" s="960" t="s">
        <v>552</v>
      </c>
      <c r="N168" s="955" t="s">
        <v>352</v>
      </c>
      <c r="O168" s="388"/>
      <c r="P168" s="388">
        <v>0</v>
      </c>
      <c r="Q168" s="388">
        <v>0</v>
      </c>
      <c r="R168" s="961">
        <v>0</v>
      </c>
      <c r="S168" s="388"/>
      <c r="T168" s="388"/>
      <c r="U168" s="388"/>
      <c r="V168" s="388"/>
      <c r="W168" s="388"/>
      <c r="X168" s="388"/>
      <c r="Y168" s="388"/>
      <c r="Z168" s="388"/>
      <c r="AA168" s="388"/>
      <c r="AB168" s="388"/>
      <c r="AC168" s="388"/>
      <c r="AD168" s="388"/>
      <c r="AE168" s="388"/>
      <c r="AF168" s="388"/>
      <c r="AG168" s="388"/>
      <c r="AH168" s="388"/>
      <c r="AI168" s="388"/>
      <c r="AJ168" s="388"/>
      <c r="AK168" s="388"/>
      <c r="AL168" s="388"/>
      <c r="AM168" s="388"/>
      <c r="AN168" s="388"/>
      <c r="AO168" s="388"/>
      <c r="AP168" s="388"/>
      <c r="AQ168" s="388"/>
      <c r="AR168" s="388"/>
      <c r="AS168" s="388"/>
      <c r="AT168" s="388"/>
      <c r="AU168" s="388"/>
      <c r="AV168" s="388"/>
      <c r="AW168" s="388"/>
      <c r="AX168" s="796"/>
      <c r="AY168" s="796"/>
      <c r="AZ168" s="796"/>
      <c r="BA168" s="927"/>
    </row>
    <row r="169" spans="1:53" ht="11.4">
      <c r="A169" s="809">
        <v>2</v>
      </c>
      <c r="B169" s="927" t="s">
        <v>1530</v>
      </c>
      <c r="C169" s="952"/>
      <c r="D169" s="952" t="s">
        <v>1531</v>
      </c>
      <c r="E169" s="927"/>
      <c r="F169" s="927"/>
      <c r="G169" s="927"/>
      <c r="H169" s="927"/>
      <c r="I169" s="927"/>
      <c r="J169" s="927"/>
      <c r="K169" s="927"/>
      <c r="L169" s="953" t="s">
        <v>553</v>
      </c>
      <c r="M169" s="963" t="s">
        <v>554</v>
      </c>
      <c r="N169" s="955" t="s">
        <v>352</v>
      </c>
      <c r="O169" s="388"/>
      <c r="P169" s="811"/>
      <c r="Q169" s="811"/>
      <c r="R169" s="961">
        <v>0</v>
      </c>
      <c r="S169" s="388"/>
      <c r="T169" s="388"/>
      <c r="U169" s="388"/>
      <c r="V169" s="388"/>
      <c r="W169" s="388"/>
      <c r="X169" s="388"/>
      <c r="Y169" s="388"/>
      <c r="Z169" s="388"/>
      <c r="AA169" s="388"/>
      <c r="AB169" s="388"/>
      <c r="AC169" s="388"/>
      <c r="AD169" s="388"/>
      <c r="AE169" s="388"/>
      <c r="AF169" s="388"/>
      <c r="AG169" s="388"/>
      <c r="AH169" s="388"/>
      <c r="AI169" s="388"/>
      <c r="AJ169" s="388"/>
      <c r="AK169" s="388"/>
      <c r="AL169" s="388"/>
      <c r="AM169" s="388"/>
      <c r="AN169" s="388"/>
      <c r="AO169" s="388"/>
      <c r="AP169" s="388"/>
      <c r="AQ169" s="388"/>
      <c r="AR169" s="388"/>
      <c r="AS169" s="388"/>
      <c r="AT169" s="388"/>
      <c r="AU169" s="388"/>
      <c r="AV169" s="388"/>
      <c r="AW169" s="388"/>
      <c r="AX169" s="796"/>
      <c r="AY169" s="796"/>
      <c r="AZ169" s="796"/>
      <c r="BA169" s="927"/>
    </row>
    <row r="170" spans="1:53" ht="11.4">
      <c r="A170" s="809">
        <v>2</v>
      </c>
      <c r="B170" s="927" t="s">
        <v>1532</v>
      </c>
      <c r="C170" s="952"/>
      <c r="D170" s="952" t="s">
        <v>1533</v>
      </c>
      <c r="E170" s="927"/>
      <c r="F170" s="927"/>
      <c r="G170" s="927"/>
      <c r="H170" s="927"/>
      <c r="I170" s="927"/>
      <c r="J170" s="927"/>
      <c r="K170" s="927"/>
      <c r="L170" s="953" t="s">
        <v>555</v>
      </c>
      <c r="M170" s="963" t="s">
        <v>556</v>
      </c>
      <c r="N170" s="955" t="s">
        <v>352</v>
      </c>
      <c r="O170" s="388"/>
      <c r="P170" s="811"/>
      <c r="Q170" s="811"/>
      <c r="R170" s="961">
        <v>0</v>
      </c>
      <c r="S170" s="388"/>
      <c r="T170" s="388"/>
      <c r="U170" s="388"/>
      <c r="V170" s="388"/>
      <c r="W170" s="388"/>
      <c r="X170" s="388"/>
      <c r="Y170" s="388"/>
      <c r="Z170" s="388"/>
      <c r="AA170" s="388"/>
      <c r="AB170" s="388"/>
      <c r="AC170" s="388"/>
      <c r="AD170" s="388"/>
      <c r="AE170" s="388"/>
      <c r="AF170" s="388"/>
      <c r="AG170" s="388"/>
      <c r="AH170" s="388"/>
      <c r="AI170" s="388"/>
      <c r="AJ170" s="388"/>
      <c r="AK170" s="388"/>
      <c r="AL170" s="388"/>
      <c r="AM170" s="388"/>
      <c r="AN170" s="388"/>
      <c r="AO170" s="388"/>
      <c r="AP170" s="388"/>
      <c r="AQ170" s="388"/>
      <c r="AR170" s="388"/>
      <c r="AS170" s="388"/>
      <c r="AT170" s="388"/>
      <c r="AU170" s="388"/>
      <c r="AV170" s="388"/>
      <c r="AW170" s="388"/>
      <c r="AX170" s="796"/>
      <c r="AY170" s="796"/>
      <c r="AZ170" s="796"/>
      <c r="BA170" s="927"/>
    </row>
    <row r="171" spans="1:53" ht="11.4">
      <c r="A171" s="809">
        <v>2</v>
      </c>
      <c r="B171" s="927" t="s">
        <v>1534</v>
      </c>
      <c r="C171" s="952"/>
      <c r="D171" s="952" t="s">
        <v>1535</v>
      </c>
      <c r="E171" s="927"/>
      <c r="F171" s="927"/>
      <c r="G171" s="927"/>
      <c r="H171" s="927"/>
      <c r="I171" s="927"/>
      <c r="J171" s="927"/>
      <c r="K171" s="927"/>
      <c r="L171" s="953" t="s">
        <v>557</v>
      </c>
      <c r="M171" s="963" t="s">
        <v>558</v>
      </c>
      <c r="N171" s="955" t="s">
        <v>352</v>
      </c>
      <c r="O171" s="388"/>
      <c r="P171" s="811"/>
      <c r="Q171" s="811"/>
      <c r="R171" s="961">
        <v>0</v>
      </c>
      <c r="S171" s="388"/>
      <c r="T171" s="388"/>
      <c r="U171" s="388"/>
      <c r="V171" s="388"/>
      <c r="W171" s="388"/>
      <c r="X171" s="388"/>
      <c r="Y171" s="388"/>
      <c r="Z171" s="388"/>
      <c r="AA171" s="388"/>
      <c r="AB171" s="388"/>
      <c r="AC171" s="388"/>
      <c r="AD171" s="388"/>
      <c r="AE171" s="388"/>
      <c r="AF171" s="388"/>
      <c r="AG171" s="388"/>
      <c r="AH171" s="388"/>
      <c r="AI171" s="388"/>
      <c r="AJ171" s="388"/>
      <c r="AK171" s="388"/>
      <c r="AL171" s="388"/>
      <c r="AM171" s="388"/>
      <c r="AN171" s="388"/>
      <c r="AO171" s="388"/>
      <c r="AP171" s="388"/>
      <c r="AQ171" s="388"/>
      <c r="AR171" s="388"/>
      <c r="AS171" s="388"/>
      <c r="AT171" s="388"/>
      <c r="AU171" s="388"/>
      <c r="AV171" s="388"/>
      <c r="AW171" s="388"/>
      <c r="AX171" s="796"/>
      <c r="AY171" s="796"/>
      <c r="AZ171" s="796"/>
      <c r="BA171" s="927"/>
    </row>
    <row r="172" spans="1:53" ht="11.4">
      <c r="A172" s="809">
        <v>2</v>
      </c>
      <c r="B172" s="927" t="s">
        <v>1536</v>
      </c>
      <c r="C172" s="952"/>
      <c r="D172" s="952" t="s">
        <v>1537</v>
      </c>
      <c r="E172" s="927"/>
      <c r="F172" s="927"/>
      <c r="G172" s="927"/>
      <c r="H172" s="927"/>
      <c r="I172" s="927"/>
      <c r="J172" s="927"/>
      <c r="K172" s="927"/>
      <c r="L172" s="953" t="s">
        <v>559</v>
      </c>
      <c r="M172" s="963" t="s">
        <v>560</v>
      </c>
      <c r="N172" s="955" t="s">
        <v>352</v>
      </c>
      <c r="O172" s="388"/>
      <c r="P172" s="811"/>
      <c r="Q172" s="811"/>
      <c r="R172" s="961">
        <v>0</v>
      </c>
      <c r="S172" s="388"/>
      <c r="T172" s="388"/>
      <c r="U172" s="388"/>
      <c r="V172" s="388"/>
      <c r="W172" s="388"/>
      <c r="X172" s="388"/>
      <c r="Y172" s="388"/>
      <c r="Z172" s="388"/>
      <c r="AA172" s="388"/>
      <c r="AB172" s="388"/>
      <c r="AC172" s="388"/>
      <c r="AD172" s="388"/>
      <c r="AE172" s="388"/>
      <c r="AF172" s="388"/>
      <c r="AG172" s="388"/>
      <c r="AH172" s="388"/>
      <c r="AI172" s="388"/>
      <c r="AJ172" s="388"/>
      <c r="AK172" s="388"/>
      <c r="AL172" s="388"/>
      <c r="AM172" s="388"/>
      <c r="AN172" s="388"/>
      <c r="AO172" s="388"/>
      <c r="AP172" s="388"/>
      <c r="AQ172" s="388"/>
      <c r="AR172" s="388"/>
      <c r="AS172" s="388"/>
      <c r="AT172" s="388"/>
      <c r="AU172" s="388"/>
      <c r="AV172" s="388"/>
      <c r="AW172" s="388"/>
      <c r="AX172" s="796"/>
      <c r="AY172" s="796"/>
      <c r="AZ172" s="796"/>
      <c r="BA172" s="927"/>
    </row>
    <row r="173" spans="1:53" ht="11.4">
      <c r="A173" s="809">
        <v>2</v>
      </c>
      <c r="B173" s="927" t="s">
        <v>1538</v>
      </c>
      <c r="C173" s="952"/>
      <c r="D173" s="952" t="s">
        <v>1539</v>
      </c>
      <c r="E173" s="927"/>
      <c r="F173" s="927"/>
      <c r="G173" s="927"/>
      <c r="H173" s="927"/>
      <c r="I173" s="927"/>
      <c r="J173" s="927"/>
      <c r="K173" s="927"/>
      <c r="L173" s="953" t="s">
        <v>561</v>
      </c>
      <c r="M173" s="963" t="s">
        <v>562</v>
      </c>
      <c r="N173" s="955" t="s">
        <v>352</v>
      </c>
      <c r="O173" s="388"/>
      <c r="P173" s="811"/>
      <c r="Q173" s="811"/>
      <c r="R173" s="961">
        <v>0</v>
      </c>
      <c r="S173" s="388"/>
      <c r="T173" s="388"/>
      <c r="U173" s="388"/>
      <c r="V173" s="388"/>
      <c r="W173" s="388"/>
      <c r="X173" s="388"/>
      <c r="Y173" s="388"/>
      <c r="Z173" s="388"/>
      <c r="AA173" s="388"/>
      <c r="AB173" s="388"/>
      <c r="AC173" s="388"/>
      <c r="AD173" s="388"/>
      <c r="AE173" s="388"/>
      <c r="AF173" s="388"/>
      <c r="AG173" s="388"/>
      <c r="AH173" s="388"/>
      <c r="AI173" s="388"/>
      <c r="AJ173" s="388"/>
      <c r="AK173" s="388"/>
      <c r="AL173" s="388"/>
      <c r="AM173" s="388"/>
      <c r="AN173" s="388"/>
      <c r="AO173" s="388"/>
      <c r="AP173" s="388"/>
      <c r="AQ173" s="388"/>
      <c r="AR173" s="388"/>
      <c r="AS173" s="388"/>
      <c r="AT173" s="388"/>
      <c r="AU173" s="388"/>
      <c r="AV173" s="388"/>
      <c r="AW173" s="388"/>
      <c r="AX173" s="796"/>
      <c r="AY173" s="796"/>
      <c r="AZ173" s="796"/>
      <c r="BA173" s="927"/>
    </row>
    <row r="174" spans="1:53" ht="11.4">
      <c r="A174" s="809">
        <v>2</v>
      </c>
      <c r="B174" s="927" t="s">
        <v>1540</v>
      </c>
      <c r="C174" s="952"/>
      <c r="D174" s="952" t="s">
        <v>1541</v>
      </c>
      <c r="E174" s="927"/>
      <c r="F174" s="927"/>
      <c r="G174" s="927"/>
      <c r="H174" s="927"/>
      <c r="I174" s="927"/>
      <c r="J174" s="927"/>
      <c r="K174" s="927"/>
      <c r="L174" s="953" t="s">
        <v>563</v>
      </c>
      <c r="M174" s="963" t="s">
        <v>564</v>
      </c>
      <c r="N174" s="955" t="s">
        <v>352</v>
      </c>
      <c r="O174" s="388"/>
      <c r="P174" s="811"/>
      <c r="Q174" s="811"/>
      <c r="R174" s="961">
        <v>0</v>
      </c>
      <c r="S174" s="388"/>
      <c r="T174" s="388"/>
      <c r="U174" s="388"/>
      <c r="V174" s="388"/>
      <c r="W174" s="388"/>
      <c r="X174" s="388"/>
      <c r="Y174" s="388"/>
      <c r="Z174" s="388"/>
      <c r="AA174" s="388"/>
      <c r="AB174" s="388"/>
      <c r="AC174" s="388"/>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796"/>
      <c r="AY174" s="796"/>
      <c r="AZ174" s="796"/>
      <c r="BA174" s="927"/>
    </row>
    <row r="175" spans="1:53" ht="11.4">
      <c r="A175" s="809">
        <v>2</v>
      </c>
      <c r="B175" s="927" t="s">
        <v>1542</v>
      </c>
      <c r="C175" s="952"/>
      <c r="D175" s="952" t="s">
        <v>1543</v>
      </c>
      <c r="E175" s="927"/>
      <c r="F175" s="927"/>
      <c r="G175" s="927"/>
      <c r="H175" s="927"/>
      <c r="I175" s="927"/>
      <c r="J175" s="927"/>
      <c r="K175" s="927"/>
      <c r="L175" s="953" t="s">
        <v>1401</v>
      </c>
      <c r="M175" s="963" t="s">
        <v>1402</v>
      </c>
      <c r="N175" s="955" t="s">
        <v>352</v>
      </c>
      <c r="O175" s="388"/>
      <c r="P175" s="811"/>
      <c r="Q175" s="811"/>
      <c r="R175" s="961">
        <v>0</v>
      </c>
      <c r="S175" s="388"/>
      <c r="T175" s="388"/>
      <c r="U175" s="388"/>
      <c r="V175" s="388"/>
      <c r="W175" s="388"/>
      <c r="X175" s="388"/>
      <c r="Y175" s="388"/>
      <c r="Z175" s="388"/>
      <c r="AA175" s="388"/>
      <c r="AB175" s="388"/>
      <c r="AC175" s="388"/>
      <c r="AD175" s="388"/>
      <c r="AE175" s="388"/>
      <c r="AF175" s="388"/>
      <c r="AG175" s="388"/>
      <c r="AH175" s="388"/>
      <c r="AI175" s="388"/>
      <c r="AJ175" s="388"/>
      <c r="AK175" s="388"/>
      <c r="AL175" s="388"/>
      <c r="AM175" s="388"/>
      <c r="AN175" s="388"/>
      <c r="AO175" s="388"/>
      <c r="AP175" s="388"/>
      <c r="AQ175" s="388"/>
      <c r="AR175" s="388"/>
      <c r="AS175" s="388"/>
      <c r="AT175" s="388"/>
      <c r="AU175" s="388"/>
      <c r="AV175" s="388"/>
      <c r="AW175" s="388"/>
      <c r="AX175" s="796"/>
      <c r="AY175" s="796"/>
      <c r="AZ175" s="796"/>
      <c r="BA175" s="927"/>
    </row>
    <row r="176" spans="1:53" ht="34.200000000000003">
      <c r="A176" s="809">
        <v>2</v>
      </c>
      <c r="B176" s="927"/>
      <c r="C176" s="952"/>
      <c r="D176" s="952" t="s">
        <v>1544</v>
      </c>
      <c r="E176" s="927"/>
      <c r="F176" s="927"/>
      <c r="G176" s="927"/>
      <c r="H176" s="927"/>
      <c r="I176" s="927"/>
      <c r="J176" s="927"/>
      <c r="K176" s="927"/>
      <c r="L176" s="953" t="s">
        <v>565</v>
      </c>
      <c r="M176" s="960" t="s">
        <v>1616</v>
      </c>
      <c r="N176" s="955" t="s">
        <v>352</v>
      </c>
      <c r="O176" s="388"/>
      <c r="P176" s="388">
        <v>0</v>
      </c>
      <c r="Q176" s="388">
        <v>0</v>
      </c>
      <c r="R176" s="961">
        <v>0</v>
      </c>
      <c r="S176" s="388"/>
      <c r="T176" s="388"/>
      <c r="U176" s="388"/>
      <c r="V176" s="388"/>
      <c r="W176" s="388"/>
      <c r="X176" s="388"/>
      <c r="Y176" s="388"/>
      <c r="Z176" s="388"/>
      <c r="AA176" s="388"/>
      <c r="AB176" s="388"/>
      <c r="AC176" s="388"/>
      <c r="AD176" s="388"/>
      <c r="AE176" s="388"/>
      <c r="AF176" s="388"/>
      <c r="AG176" s="388"/>
      <c r="AH176" s="388"/>
      <c r="AI176" s="388"/>
      <c r="AJ176" s="388"/>
      <c r="AK176" s="388"/>
      <c r="AL176" s="388"/>
      <c r="AM176" s="388"/>
      <c r="AN176" s="388"/>
      <c r="AO176" s="388"/>
      <c r="AP176" s="388"/>
      <c r="AQ176" s="388"/>
      <c r="AR176" s="388"/>
      <c r="AS176" s="388"/>
      <c r="AT176" s="388"/>
      <c r="AU176" s="388"/>
      <c r="AV176" s="388"/>
      <c r="AW176" s="388"/>
      <c r="AX176" s="796"/>
      <c r="AY176" s="796"/>
      <c r="AZ176" s="796"/>
      <c r="BA176" s="927"/>
    </row>
    <row r="177" spans="1:53" ht="11.4">
      <c r="A177" s="809">
        <v>2</v>
      </c>
      <c r="B177" s="927" t="s">
        <v>1545</v>
      </c>
      <c r="C177" s="952"/>
      <c r="D177" s="952" t="s">
        <v>1546</v>
      </c>
      <c r="E177" s="927"/>
      <c r="F177" s="927"/>
      <c r="G177" s="927"/>
      <c r="H177" s="927"/>
      <c r="I177" s="927"/>
      <c r="J177" s="927"/>
      <c r="K177" s="927"/>
      <c r="L177" s="953" t="s">
        <v>566</v>
      </c>
      <c r="M177" s="963" t="s">
        <v>567</v>
      </c>
      <c r="N177" s="955" t="s">
        <v>352</v>
      </c>
      <c r="O177" s="388"/>
      <c r="P177" s="811"/>
      <c r="Q177" s="811"/>
      <c r="R177" s="961">
        <v>0</v>
      </c>
      <c r="S177" s="388"/>
      <c r="T177" s="388"/>
      <c r="U177" s="388"/>
      <c r="V177" s="388"/>
      <c r="W177" s="388"/>
      <c r="X177" s="388"/>
      <c r="Y177" s="388"/>
      <c r="Z177" s="388"/>
      <c r="AA177" s="388"/>
      <c r="AB177" s="388"/>
      <c r="AC177" s="388"/>
      <c r="AD177" s="388"/>
      <c r="AE177" s="388"/>
      <c r="AF177" s="388"/>
      <c r="AG177" s="388"/>
      <c r="AH177" s="388"/>
      <c r="AI177" s="388"/>
      <c r="AJ177" s="388"/>
      <c r="AK177" s="388"/>
      <c r="AL177" s="388"/>
      <c r="AM177" s="388"/>
      <c r="AN177" s="388"/>
      <c r="AO177" s="388"/>
      <c r="AP177" s="388"/>
      <c r="AQ177" s="388"/>
      <c r="AR177" s="388"/>
      <c r="AS177" s="388"/>
      <c r="AT177" s="388"/>
      <c r="AU177" s="388"/>
      <c r="AV177" s="388"/>
      <c r="AW177" s="388"/>
      <c r="AX177" s="796"/>
      <c r="AY177" s="796"/>
      <c r="AZ177" s="796"/>
      <c r="BA177" s="927"/>
    </row>
    <row r="178" spans="1:53" ht="22.8">
      <c r="A178" s="809">
        <v>2</v>
      </c>
      <c r="B178" s="927" t="s">
        <v>1547</v>
      </c>
      <c r="C178" s="952"/>
      <c r="D178" s="952" t="s">
        <v>1548</v>
      </c>
      <c r="E178" s="927"/>
      <c r="F178" s="927"/>
      <c r="G178" s="927"/>
      <c r="H178" s="927"/>
      <c r="I178" s="927"/>
      <c r="J178" s="927"/>
      <c r="K178" s="927"/>
      <c r="L178" s="953" t="s">
        <v>568</v>
      </c>
      <c r="M178" s="963" t="s">
        <v>1617</v>
      </c>
      <c r="N178" s="955" t="s">
        <v>352</v>
      </c>
      <c r="O178" s="388"/>
      <c r="P178" s="811">
        <v>0</v>
      </c>
      <c r="Q178" s="811">
        <v>0</v>
      </c>
      <c r="R178" s="961">
        <v>0</v>
      </c>
      <c r="S178" s="388"/>
      <c r="T178" s="388"/>
      <c r="U178" s="388"/>
      <c r="V178" s="388"/>
      <c r="W178" s="388"/>
      <c r="X178" s="388"/>
      <c r="Y178" s="388"/>
      <c r="Z178" s="388"/>
      <c r="AA178" s="388"/>
      <c r="AB178" s="388"/>
      <c r="AC178" s="388"/>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796"/>
      <c r="AY178" s="796"/>
      <c r="AZ178" s="796"/>
      <c r="BA178" s="927"/>
    </row>
    <row r="179" spans="1:53" ht="34.200000000000003">
      <c r="A179" s="809">
        <v>2</v>
      </c>
      <c r="B179" s="933" t="s">
        <v>1549</v>
      </c>
      <c r="C179" s="952"/>
      <c r="D179" s="952" t="s">
        <v>1550</v>
      </c>
      <c r="E179" s="927"/>
      <c r="F179" s="927"/>
      <c r="G179" s="927"/>
      <c r="H179" s="927"/>
      <c r="I179" s="927"/>
      <c r="J179" s="927"/>
      <c r="K179" s="927"/>
      <c r="L179" s="953" t="s">
        <v>569</v>
      </c>
      <c r="M179" s="960" t="s">
        <v>570</v>
      </c>
      <c r="N179" s="955" t="s">
        <v>352</v>
      </c>
      <c r="O179" s="388"/>
      <c r="P179" s="811"/>
      <c r="Q179" s="811"/>
      <c r="R179" s="961">
        <v>0</v>
      </c>
      <c r="S179" s="388"/>
      <c r="T179" s="388"/>
      <c r="U179" s="388"/>
      <c r="V179" s="388"/>
      <c r="W179" s="388"/>
      <c r="X179" s="388"/>
      <c r="Y179" s="388"/>
      <c r="Z179" s="388"/>
      <c r="AA179" s="388"/>
      <c r="AB179" s="388"/>
      <c r="AC179" s="388"/>
      <c r="AD179" s="388"/>
      <c r="AE179" s="388"/>
      <c r="AF179" s="388"/>
      <c r="AG179" s="388"/>
      <c r="AH179" s="388"/>
      <c r="AI179" s="388"/>
      <c r="AJ179" s="388"/>
      <c r="AK179" s="388"/>
      <c r="AL179" s="388"/>
      <c r="AM179" s="388"/>
      <c r="AN179" s="388"/>
      <c r="AO179" s="388"/>
      <c r="AP179" s="388"/>
      <c r="AQ179" s="388"/>
      <c r="AR179" s="388"/>
      <c r="AS179" s="388"/>
      <c r="AT179" s="388"/>
      <c r="AU179" s="388"/>
      <c r="AV179" s="388"/>
      <c r="AW179" s="388"/>
      <c r="AX179" s="796"/>
      <c r="AY179" s="796"/>
      <c r="AZ179" s="796"/>
      <c r="BA179" s="927"/>
    </row>
    <row r="180" spans="1:53" ht="14.4">
      <c r="A180" s="809">
        <v>2</v>
      </c>
      <c r="B180" s="933" t="s">
        <v>1551</v>
      </c>
      <c r="C180" s="952"/>
      <c r="D180" s="952" t="s">
        <v>1552</v>
      </c>
      <c r="E180" s="927"/>
      <c r="F180" s="927"/>
      <c r="G180" s="927"/>
      <c r="H180" s="927"/>
      <c r="I180" s="927"/>
      <c r="J180" s="927"/>
      <c r="K180" s="927"/>
      <c r="L180" s="953" t="s">
        <v>571</v>
      </c>
      <c r="M180" s="960" t="s">
        <v>572</v>
      </c>
      <c r="N180" s="955" t="s">
        <v>352</v>
      </c>
      <c r="O180" s="388"/>
      <c r="P180" s="811"/>
      <c r="Q180" s="811"/>
      <c r="R180" s="961">
        <v>0</v>
      </c>
      <c r="S180" s="388"/>
      <c r="T180" s="388"/>
      <c r="U180" s="388"/>
      <c r="V180" s="388"/>
      <c r="W180" s="388"/>
      <c r="X180" s="388"/>
      <c r="Y180" s="388"/>
      <c r="Z180" s="388"/>
      <c r="AA180" s="388"/>
      <c r="AB180" s="388"/>
      <c r="AC180" s="388"/>
      <c r="AD180" s="388"/>
      <c r="AE180" s="388"/>
      <c r="AF180" s="388"/>
      <c r="AG180" s="388"/>
      <c r="AH180" s="388"/>
      <c r="AI180" s="388"/>
      <c r="AJ180" s="388"/>
      <c r="AK180" s="388"/>
      <c r="AL180" s="388"/>
      <c r="AM180" s="388"/>
      <c r="AN180" s="388"/>
      <c r="AO180" s="388"/>
      <c r="AP180" s="388"/>
      <c r="AQ180" s="388"/>
      <c r="AR180" s="388"/>
      <c r="AS180" s="388"/>
      <c r="AT180" s="388"/>
      <c r="AU180" s="388"/>
      <c r="AV180" s="388"/>
      <c r="AW180" s="388"/>
      <c r="AX180" s="796"/>
      <c r="AY180" s="796"/>
      <c r="AZ180" s="796"/>
      <c r="BA180" s="927"/>
    </row>
    <row r="181" spans="1:53" ht="14.4">
      <c r="A181" s="809">
        <v>2</v>
      </c>
      <c r="B181" s="933" t="s">
        <v>1553</v>
      </c>
      <c r="C181" s="952"/>
      <c r="D181" s="952" t="s">
        <v>1554</v>
      </c>
      <c r="E181" s="927"/>
      <c r="F181" s="927"/>
      <c r="G181" s="927"/>
      <c r="H181" s="927"/>
      <c r="I181" s="927"/>
      <c r="J181" s="927"/>
      <c r="K181" s="927"/>
      <c r="L181" s="953" t="s">
        <v>573</v>
      </c>
      <c r="M181" s="960" t="s">
        <v>574</v>
      </c>
      <c r="N181" s="955" t="s">
        <v>352</v>
      </c>
      <c r="O181" s="388"/>
      <c r="P181" s="811"/>
      <c r="Q181" s="811"/>
      <c r="R181" s="961">
        <v>0</v>
      </c>
      <c r="S181" s="388"/>
      <c r="T181" s="388"/>
      <c r="U181" s="388"/>
      <c r="V181" s="388"/>
      <c r="W181" s="388"/>
      <c r="X181" s="388"/>
      <c r="Y181" s="388"/>
      <c r="Z181" s="388"/>
      <c r="AA181" s="388"/>
      <c r="AB181" s="388"/>
      <c r="AC181" s="388"/>
      <c r="AD181" s="388"/>
      <c r="AE181" s="388"/>
      <c r="AF181" s="388"/>
      <c r="AG181" s="388"/>
      <c r="AH181" s="388"/>
      <c r="AI181" s="388"/>
      <c r="AJ181" s="388"/>
      <c r="AK181" s="388"/>
      <c r="AL181" s="388"/>
      <c r="AM181" s="388"/>
      <c r="AN181" s="388"/>
      <c r="AO181" s="388"/>
      <c r="AP181" s="388"/>
      <c r="AQ181" s="388"/>
      <c r="AR181" s="388"/>
      <c r="AS181" s="388"/>
      <c r="AT181" s="388"/>
      <c r="AU181" s="388"/>
      <c r="AV181" s="388"/>
      <c r="AW181" s="388"/>
      <c r="AX181" s="796"/>
      <c r="AY181" s="796"/>
      <c r="AZ181" s="796"/>
      <c r="BA181" s="927"/>
    </row>
    <row r="182" spans="1:53" ht="14.4">
      <c r="A182" s="809">
        <v>2</v>
      </c>
      <c r="B182" s="933" t="s">
        <v>1555</v>
      </c>
      <c r="C182" s="952"/>
      <c r="D182" s="952" t="s">
        <v>1556</v>
      </c>
      <c r="E182" s="927"/>
      <c r="F182" s="927"/>
      <c r="G182" s="927"/>
      <c r="H182" s="927"/>
      <c r="I182" s="927"/>
      <c r="J182" s="927"/>
      <c r="K182" s="927"/>
      <c r="L182" s="953" t="s">
        <v>575</v>
      </c>
      <c r="M182" s="960" t="s">
        <v>576</v>
      </c>
      <c r="N182" s="955" t="s">
        <v>352</v>
      </c>
      <c r="O182" s="388"/>
      <c r="P182" s="811"/>
      <c r="Q182" s="811"/>
      <c r="R182" s="961">
        <v>0</v>
      </c>
      <c r="S182" s="388"/>
      <c r="T182" s="388"/>
      <c r="U182" s="388"/>
      <c r="V182" s="388"/>
      <c r="W182" s="388"/>
      <c r="X182" s="388"/>
      <c r="Y182" s="388"/>
      <c r="Z182" s="388"/>
      <c r="AA182" s="388"/>
      <c r="AB182" s="388"/>
      <c r="AC182" s="388"/>
      <c r="AD182" s="388"/>
      <c r="AE182" s="388"/>
      <c r="AF182" s="388"/>
      <c r="AG182" s="388"/>
      <c r="AH182" s="388"/>
      <c r="AI182" s="388"/>
      <c r="AJ182" s="388"/>
      <c r="AK182" s="388"/>
      <c r="AL182" s="388"/>
      <c r="AM182" s="388"/>
      <c r="AN182" s="388"/>
      <c r="AO182" s="388"/>
      <c r="AP182" s="388"/>
      <c r="AQ182" s="388"/>
      <c r="AR182" s="388"/>
      <c r="AS182" s="388"/>
      <c r="AT182" s="388"/>
      <c r="AU182" s="388"/>
      <c r="AV182" s="388"/>
      <c r="AW182" s="388"/>
      <c r="AX182" s="796"/>
      <c r="AY182" s="796"/>
      <c r="AZ182" s="796"/>
      <c r="BA182" s="927"/>
    </row>
    <row r="183" spans="1:53" ht="14.4">
      <c r="A183" s="809">
        <v>2</v>
      </c>
      <c r="B183" s="933" t="s">
        <v>1557</v>
      </c>
      <c r="C183" s="952"/>
      <c r="D183" s="952" t="s">
        <v>1558</v>
      </c>
      <c r="E183" s="927"/>
      <c r="F183" s="927"/>
      <c r="G183" s="927"/>
      <c r="H183" s="927"/>
      <c r="I183" s="927"/>
      <c r="J183" s="927"/>
      <c r="K183" s="927"/>
      <c r="L183" s="953" t="s">
        <v>577</v>
      </c>
      <c r="M183" s="960" t="s">
        <v>578</v>
      </c>
      <c r="N183" s="955" t="s">
        <v>352</v>
      </c>
      <c r="O183" s="388"/>
      <c r="P183" s="388">
        <v>0</v>
      </c>
      <c r="Q183" s="388">
        <v>0</v>
      </c>
      <c r="R183" s="961">
        <v>0</v>
      </c>
      <c r="S183" s="388"/>
      <c r="T183" s="388"/>
      <c r="U183" s="388"/>
      <c r="V183" s="388"/>
      <c r="W183" s="388"/>
      <c r="X183" s="388"/>
      <c r="Y183" s="388"/>
      <c r="Z183" s="388"/>
      <c r="AA183" s="388"/>
      <c r="AB183" s="388"/>
      <c r="AC183" s="388"/>
      <c r="AD183" s="388"/>
      <c r="AE183" s="388"/>
      <c r="AF183" s="388"/>
      <c r="AG183" s="388"/>
      <c r="AH183" s="388"/>
      <c r="AI183" s="388"/>
      <c r="AJ183" s="388"/>
      <c r="AK183" s="388"/>
      <c r="AL183" s="388"/>
      <c r="AM183" s="388"/>
      <c r="AN183" s="388"/>
      <c r="AO183" s="388"/>
      <c r="AP183" s="388"/>
      <c r="AQ183" s="388"/>
      <c r="AR183" s="388"/>
      <c r="AS183" s="388"/>
      <c r="AT183" s="388"/>
      <c r="AU183" s="388"/>
      <c r="AV183" s="388"/>
      <c r="AW183" s="388"/>
      <c r="AX183" s="796"/>
      <c r="AY183" s="796"/>
      <c r="AZ183" s="796"/>
      <c r="BA183" s="927"/>
    </row>
    <row r="184" spans="1:53" ht="14.4">
      <c r="A184" s="809">
        <v>2</v>
      </c>
      <c r="B184" s="933" t="s">
        <v>1559</v>
      </c>
      <c r="C184" s="952"/>
      <c r="D184" s="952" t="s">
        <v>1560</v>
      </c>
      <c r="E184" s="927"/>
      <c r="F184" s="927"/>
      <c r="G184" s="927"/>
      <c r="H184" s="927"/>
      <c r="I184" s="927"/>
      <c r="J184" s="927"/>
      <c r="K184" s="927"/>
      <c r="L184" s="953" t="s">
        <v>1308</v>
      </c>
      <c r="M184" s="965" t="s">
        <v>579</v>
      </c>
      <c r="N184" s="955" t="s">
        <v>352</v>
      </c>
      <c r="O184" s="388"/>
      <c r="P184" s="811"/>
      <c r="Q184" s="811"/>
      <c r="R184" s="961">
        <v>0</v>
      </c>
      <c r="S184" s="388"/>
      <c r="T184" s="388"/>
      <c r="U184" s="388"/>
      <c r="V184" s="388"/>
      <c r="W184" s="388"/>
      <c r="X184" s="388"/>
      <c r="Y184" s="388"/>
      <c r="Z184" s="388"/>
      <c r="AA184" s="388"/>
      <c r="AB184" s="388"/>
      <c r="AC184" s="388"/>
      <c r="AD184" s="388"/>
      <c r="AE184" s="388"/>
      <c r="AF184" s="388"/>
      <c r="AG184" s="388"/>
      <c r="AH184" s="388"/>
      <c r="AI184" s="388"/>
      <c r="AJ184" s="388"/>
      <c r="AK184" s="388"/>
      <c r="AL184" s="388"/>
      <c r="AM184" s="388"/>
      <c r="AN184" s="388"/>
      <c r="AO184" s="388"/>
      <c r="AP184" s="388"/>
      <c r="AQ184" s="388"/>
      <c r="AR184" s="388"/>
      <c r="AS184" s="388"/>
      <c r="AT184" s="388"/>
      <c r="AU184" s="388"/>
      <c r="AV184" s="388"/>
      <c r="AW184" s="388"/>
      <c r="AX184" s="796"/>
      <c r="AY184" s="796"/>
      <c r="AZ184" s="796"/>
      <c r="BA184" s="927"/>
    </row>
    <row r="185" spans="1:53" ht="14.4">
      <c r="A185" s="809">
        <v>2</v>
      </c>
      <c r="B185" s="933" t="s">
        <v>1561</v>
      </c>
      <c r="C185" s="952"/>
      <c r="D185" s="952" t="s">
        <v>1562</v>
      </c>
      <c r="E185" s="927"/>
      <c r="F185" s="927"/>
      <c r="G185" s="927"/>
      <c r="H185" s="927"/>
      <c r="I185" s="927"/>
      <c r="J185" s="927"/>
      <c r="K185" s="927"/>
      <c r="L185" s="953" t="s">
        <v>1309</v>
      </c>
      <c r="M185" s="965" t="s">
        <v>580</v>
      </c>
      <c r="N185" s="955" t="s">
        <v>352</v>
      </c>
      <c r="O185" s="388"/>
      <c r="P185" s="811"/>
      <c r="Q185" s="811"/>
      <c r="R185" s="961">
        <v>0</v>
      </c>
      <c r="S185" s="388"/>
      <c r="T185" s="388"/>
      <c r="U185" s="388"/>
      <c r="V185" s="388"/>
      <c r="W185" s="388"/>
      <c r="X185" s="388"/>
      <c r="Y185" s="388"/>
      <c r="Z185" s="388"/>
      <c r="AA185" s="388"/>
      <c r="AB185" s="388"/>
      <c r="AC185" s="388"/>
      <c r="AD185" s="388"/>
      <c r="AE185" s="388"/>
      <c r="AF185" s="388"/>
      <c r="AG185" s="388"/>
      <c r="AH185" s="388"/>
      <c r="AI185" s="388"/>
      <c r="AJ185" s="388"/>
      <c r="AK185" s="388"/>
      <c r="AL185" s="388"/>
      <c r="AM185" s="388"/>
      <c r="AN185" s="388"/>
      <c r="AO185" s="388"/>
      <c r="AP185" s="388"/>
      <c r="AQ185" s="388"/>
      <c r="AR185" s="388"/>
      <c r="AS185" s="388"/>
      <c r="AT185" s="388"/>
      <c r="AU185" s="388"/>
      <c r="AV185" s="388"/>
      <c r="AW185" s="388"/>
      <c r="AX185" s="796"/>
      <c r="AY185" s="796"/>
      <c r="AZ185" s="796"/>
      <c r="BA185" s="927"/>
    </row>
    <row r="186" spans="1:53" ht="11.4">
      <c r="A186" s="809">
        <v>2</v>
      </c>
      <c r="B186" s="927" t="s">
        <v>1563</v>
      </c>
      <c r="C186" s="952"/>
      <c r="D186" s="952" t="s">
        <v>1564</v>
      </c>
      <c r="E186" s="927"/>
      <c r="F186" s="927"/>
      <c r="G186" s="927"/>
      <c r="H186" s="927"/>
      <c r="I186" s="927"/>
      <c r="J186" s="927"/>
      <c r="K186" s="927"/>
      <c r="L186" s="953" t="s">
        <v>1399</v>
      </c>
      <c r="M186" s="963" t="s">
        <v>1400</v>
      </c>
      <c r="N186" s="955" t="s">
        <v>352</v>
      </c>
      <c r="O186" s="388"/>
      <c r="P186" s="811"/>
      <c r="Q186" s="811"/>
      <c r="R186" s="961">
        <v>0</v>
      </c>
      <c r="S186" s="388"/>
      <c r="T186" s="388"/>
      <c r="U186" s="388"/>
      <c r="V186" s="388"/>
      <c r="W186" s="388"/>
      <c r="X186" s="388"/>
      <c r="Y186" s="388"/>
      <c r="Z186" s="388"/>
      <c r="AA186" s="388"/>
      <c r="AB186" s="388"/>
      <c r="AC186" s="388"/>
      <c r="AD186" s="388"/>
      <c r="AE186" s="388"/>
      <c r="AF186" s="388"/>
      <c r="AG186" s="388"/>
      <c r="AH186" s="388"/>
      <c r="AI186" s="388"/>
      <c r="AJ186" s="388"/>
      <c r="AK186" s="388"/>
      <c r="AL186" s="388"/>
      <c r="AM186" s="388"/>
      <c r="AN186" s="388"/>
      <c r="AO186" s="388"/>
      <c r="AP186" s="388"/>
      <c r="AQ186" s="388"/>
      <c r="AR186" s="388"/>
      <c r="AS186" s="388"/>
      <c r="AT186" s="388"/>
      <c r="AU186" s="388"/>
      <c r="AV186" s="388"/>
      <c r="AW186" s="388"/>
      <c r="AX186" s="796"/>
      <c r="AY186" s="796"/>
      <c r="AZ186" s="796"/>
      <c r="BA186" s="927"/>
    </row>
    <row r="187" spans="1:53" ht="22.8">
      <c r="A187" s="809">
        <v>2</v>
      </c>
      <c r="B187" s="927"/>
      <c r="C187" s="952"/>
      <c r="D187" s="952" t="s">
        <v>1565</v>
      </c>
      <c r="E187" s="927"/>
      <c r="F187" s="927"/>
      <c r="G187" s="927"/>
      <c r="H187" s="927"/>
      <c r="I187" s="927"/>
      <c r="J187" s="927"/>
      <c r="K187" s="927"/>
      <c r="L187" s="953" t="s">
        <v>364</v>
      </c>
      <c r="M187" s="954" t="s">
        <v>581</v>
      </c>
      <c r="N187" s="955" t="s">
        <v>352</v>
      </c>
      <c r="O187" s="388"/>
      <c r="P187" s="811"/>
      <c r="Q187" s="811"/>
      <c r="R187" s="961">
        <v>0</v>
      </c>
      <c r="S187" s="388"/>
      <c r="T187" s="388"/>
      <c r="U187" s="388"/>
      <c r="V187" s="388"/>
      <c r="W187" s="388"/>
      <c r="X187" s="388"/>
      <c r="Y187" s="388"/>
      <c r="Z187" s="388"/>
      <c r="AA187" s="388"/>
      <c r="AB187" s="388"/>
      <c r="AC187" s="388"/>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796"/>
      <c r="AY187" s="796"/>
      <c r="AZ187" s="796"/>
      <c r="BA187" s="927"/>
    </row>
    <row r="188" spans="1:53" ht="11.4">
      <c r="A188" s="809">
        <v>2</v>
      </c>
      <c r="B188" s="927"/>
      <c r="C188" s="952"/>
      <c r="D188" s="952" t="s">
        <v>1566</v>
      </c>
      <c r="E188" s="927"/>
      <c r="F188" s="927"/>
      <c r="G188" s="927"/>
      <c r="H188" s="927"/>
      <c r="I188" s="927"/>
      <c r="J188" s="927"/>
      <c r="K188" s="927"/>
      <c r="L188" s="953" t="s">
        <v>1207</v>
      </c>
      <c r="M188" s="954" t="s">
        <v>1208</v>
      </c>
      <c r="N188" s="955" t="s">
        <v>352</v>
      </c>
      <c r="O188" s="388"/>
      <c r="P188" s="811"/>
      <c r="Q188" s="811"/>
      <c r="R188" s="961">
        <v>0</v>
      </c>
      <c r="S188" s="388"/>
      <c r="T188" s="388"/>
      <c r="U188" s="388"/>
      <c r="V188" s="388"/>
      <c r="W188" s="388"/>
      <c r="X188" s="388"/>
      <c r="Y188" s="388"/>
      <c r="Z188" s="388"/>
      <c r="AA188" s="388"/>
      <c r="AB188" s="388"/>
      <c r="AC188" s="388"/>
      <c r="AD188" s="388"/>
      <c r="AE188" s="388"/>
      <c r="AF188" s="388"/>
      <c r="AG188" s="388"/>
      <c r="AH188" s="388"/>
      <c r="AI188" s="388"/>
      <c r="AJ188" s="388"/>
      <c r="AK188" s="388"/>
      <c r="AL188" s="388"/>
      <c r="AM188" s="388"/>
      <c r="AN188" s="388"/>
      <c r="AO188" s="388"/>
      <c r="AP188" s="388"/>
      <c r="AQ188" s="388"/>
      <c r="AR188" s="388"/>
      <c r="AS188" s="388"/>
      <c r="AT188" s="388"/>
      <c r="AU188" s="388"/>
      <c r="AV188" s="388"/>
      <c r="AW188" s="388"/>
      <c r="AX188" s="796"/>
      <c r="AY188" s="796"/>
      <c r="AZ188" s="796"/>
      <c r="BA188" s="927"/>
    </row>
    <row r="189" spans="1:53" s="109" customFormat="1" ht="11.4">
      <c r="A189" s="809">
        <v>2</v>
      </c>
      <c r="B189" s="968"/>
      <c r="C189" s="952"/>
      <c r="D189" s="952" t="s">
        <v>1567</v>
      </c>
      <c r="E189" s="968"/>
      <c r="F189" s="968"/>
      <c r="G189" s="968"/>
      <c r="H189" s="968"/>
      <c r="I189" s="968"/>
      <c r="J189" s="968"/>
      <c r="K189" s="968"/>
      <c r="L189" s="969" t="s">
        <v>1324</v>
      </c>
      <c r="M189" s="970" t="s">
        <v>1325</v>
      </c>
      <c r="N189" s="971" t="s">
        <v>352</v>
      </c>
      <c r="O189" s="466"/>
      <c r="P189" s="950">
        <v>0</v>
      </c>
      <c r="Q189" s="950">
        <v>0</v>
      </c>
      <c r="R189" s="950">
        <v>0</v>
      </c>
      <c r="S189" s="466"/>
      <c r="T189" s="388"/>
      <c r="U189" s="950"/>
      <c r="V189" s="950"/>
      <c r="W189" s="950"/>
      <c r="X189" s="950"/>
      <c r="Y189" s="950"/>
      <c r="Z189" s="950"/>
      <c r="AA189" s="950"/>
      <c r="AB189" s="950"/>
      <c r="AC189" s="950"/>
      <c r="AD189" s="388"/>
      <c r="AE189" s="388"/>
      <c r="AF189" s="950"/>
      <c r="AG189" s="950"/>
      <c r="AH189" s="950"/>
      <c r="AI189" s="950"/>
      <c r="AJ189" s="950"/>
      <c r="AK189" s="950"/>
      <c r="AL189" s="950"/>
      <c r="AM189" s="950"/>
      <c r="AN189" s="950"/>
      <c r="AO189" s="950"/>
      <c r="AP189" s="950"/>
      <c r="AQ189" s="950"/>
      <c r="AR189" s="950"/>
      <c r="AS189" s="950"/>
      <c r="AT189" s="950"/>
      <c r="AU189" s="950"/>
      <c r="AV189" s="950"/>
      <c r="AW189" s="950"/>
      <c r="AX189" s="959"/>
      <c r="AY189" s="959"/>
      <c r="AZ189" s="959"/>
      <c r="BA189" s="968"/>
    </row>
    <row r="190" spans="1:53" ht="11.4">
      <c r="A190" s="809">
        <v>2</v>
      </c>
      <c r="B190" s="927"/>
      <c r="C190" s="927"/>
      <c r="D190" s="927"/>
      <c r="E190" s="927"/>
      <c r="F190" s="927"/>
      <c r="G190" s="927"/>
      <c r="H190" s="927"/>
      <c r="I190" s="927"/>
      <c r="J190" s="927"/>
      <c r="K190" s="927"/>
      <c r="L190" s="953" t="s">
        <v>1326</v>
      </c>
      <c r="M190" s="954"/>
      <c r="N190" s="955"/>
      <c r="O190" s="388"/>
      <c r="P190" s="961"/>
      <c r="Q190" s="961"/>
      <c r="R190" s="961"/>
      <c r="S190" s="388"/>
      <c r="T190" s="961"/>
      <c r="U190" s="961"/>
      <c r="V190" s="961"/>
      <c r="W190" s="961"/>
      <c r="X190" s="961"/>
      <c r="Y190" s="961"/>
      <c r="Z190" s="961"/>
      <c r="AA190" s="961"/>
      <c r="AB190" s="961"/>
      <c r="AC190" s="961"/>
      <c r="AD190" s="961"/>
      <c r="AE190" s="961"/>
      <c r="AF190" s="961"/>
      <c r="AG190" s="961"/>
      <c r="AH190" s="961"/>
      <c r="AI190" s="961"/>
      <c r="AJ190" s="961"/>
      <c r="AK190" s="961"/>
      <c r="AL190" s="961"/>
      <c r="AM190" s="961"/>
      <c r="AN190" s="961"/>
      <c r="AO190" s="961"/>
      <c r="AP190" s="961"/>
      <c r="AQ190" s="961"/>
      <c r="AR190" s="961"/>
      <c r="AS190" s="961"/>
      <c r="AT190" s="961"/>
      <c r="AU190" s="961"/>
      <c r="AV190" s="961"/>
      <c r="AW190" s="961"/>
      <c r="AX190" s="972"/>
      <c r="AY190" s="972"/>
      <c r="AZ190" s="972"/>
      <c r="BA190" s="927"/>
    </row>
    <row r="191" spans="1:53" s="109" customFormat="1" ht="11.4">
      <c r="A191" s="809">
        <v>2</v>
      </c>
      <c r="B191" s="968"/>
      <c r="C191" s="927"/>
      <c r="D191" s="927" t="s">
        <v>1438</v>
      </c>
      <c r="E191" s="968"/>
      <c r="F191" s="968"/>
      <c r="G191" s="968"/>
      <c r="H191" s="968"/>
      <c r="I191" s="968"/>
      <c r="J191" s="968"/>
      <c r="K191" s="968"/>
      <c r="L191" s="946" t="s">
        <v>102</v>
      </c>
      <c r="M191" s="947" t="s">
        <v>582</v>
      </c>
      <c r="N191" s="948" t="s">
        <v>352</v>
      </c>
      <c r="O191" s="950">
        <v>110.2</v>
      </c>
      <c r="P191" s="950">
        <v>110.2</v>
      </c>
      <c r="Q191" s="950">
        <v>0</v>
      </c>
      <c r="R191" s="950">
        <v>-110.2</v>
      </c>
      <c r="S191" s="950">
        <v>110.2</v>
      </c>
      <c r="T191" s="950">
        <v>110.2</v>
      </c>
      <c r="U191" s="950">
        <v>0</v>
      </c>
      <c r="V191" s="950">
        <v>0</v>
      </c>
      <c r="W191" s="950">
        <v>0</v>
      </c>
      <c r="X191" s="950">
        <v>0</v>
      </c>
      <c r="Y191" s="950">
        <v>0</v>
      </c>
      <c r="Z191" s="950">
        <v>0</v>
      </c>
      <c r="AA191" s="950">
        <v>0</v>
      </c>
      <c r="AB191" s="950">
        <v>0</v>
      </c>
      <c r="AC191" s="950">
        <v>0</v>
      </c>
      <c r="AD191" s="950">
        <v>0</v>
      </c>
      <c r="AE191" s="950">
        <v>0</v>
      </c>
      <c r="AF191" s="950">
        <v>0</v>
      </c>
      <c r="AG191" s="950">
        <v>0</v>
      </c>
      <c r="AH191" s="950">
        <v>0</v>
      </c>
      <c r="AI191" s="950">
        <v>0</v>
      </c>
      <c r="AJ191" s="950">
        <v>0</v>
      </c>
      <c r="AK191" s="950">
        <v>0</v>
      </c>
      <c r="AL191" s="950">
        <v>0</v>
      </c>
      <c r="AM191" s="950">
        <v>0</v>
      </c>
      <c r="AN191" s="950">
        <v>-100</v>
      </c>
      <c r="AO191" s="950">
        <v>0</v>
      </c>
      <c r="AP191" s="950">
        <v>0</v>
      </c>
      <c r="AQ191" s="950">
        <v>0</v>
      </c>
      <c r="AR191" s="950">
        <v>0</v>
      </c>
      <c r="AS191" s="950">
        <v>0</v>
      </c>
      <c r="AT191" s="950">
        <v>0</v>
      </c>
      <c r="AU191" s="950">
        <v>0</v>
      </c>
      <c r="AV191" s="950">
        <v>0</v>
      </c>
      <c r="AW191" s="950">
        <v>0</v>
      </c>
      <c r="AX191" s="796"/>
      <c r="AY191" s="796"/>
      <c r="AZ191" s="796"/>
      <c r="BA191" s="951"/>
    </row>
    <row r="192" spans="1:53" s="109" customFormat="1" ht="22.8">
      <c r="A192" s="809">
        <v>2</v>
      </c>
      <c r="B192" s="968"/>
      <c r="C192" s="927"/>
      <c r="D192" s="927" t="s">
        <v>1439</v>
      </c>
      <c r="E192" s="968"/>
      <c r="F192" s="968"/>
      <c r="G192" s="968"/>
      <c r="H192" s="968"/>
      <c r="I192" s="968"/>
      <c r="J192" s="968"/>
      <c r="K192" s="968"/>
      <c r="L192" s="969" t="s">
        <v>17</v>
      </c>
      <c r="M192" s="970" t="s">
        <v>583</v>
      </c>
      <c r="N192" s="971" t="s">
        <v>352</v>
      </c>
      <c r="O192" s="950">
        <v>0</v>
      </c>
      <c r="P192" s="950">
        <v>0</v>
      </c>
      <c r="Q192" s="950">
        <v>0</v>
      </c>
      <c r="R192" s="950">
        <v>0</v>
      </c>
      <c r="S192" s="950">
        <v>0</v>
      </c>
      <c r="T192" s="950">
        <v>0</v>
      </c>
      <c r="U192" s="950">
        <v>0</v>
      </c>
      <c r="V192" s="950">
        <v>0</v>
      </c>
      <c r="W192" s="950">
        <v>0</v>
      </c>
      <c r="X192" s="950">
        <v>0</v>
      </c>
      <c r="Y192" s="950">
        <v>0</v>
      </c>
      <c r="Z192" s="950">
        <v>0</v>
      </c>
      <c r="AA192" s="950">
        <v>0</v>
      </c>
      <c r="AB192" s="950">
        <v>0</v>
      </c>
      <c r="AC192" s="950">
        <v>0</v>
      </c>
      <c r="AD192" s="950">
        <v>0</v>
      </c>
      <c r="AE192" s="950">
        <v>0</v>
      </c>
      <c r="AF192" s="950">
        <v>0</v>
      </c>
      <c r="AG192" s="950">
        <v>0</v>
      </c>
      <c r="AH192" s="950">
        <v>0</v>
      </c>
      <c r="AI192" s="950">
        <v>0</v>
      </c>
      <c r="AJ192" s="950">
        <v>0</v>
      </c>
      <c r="AK192" s="950">
        <v>0</v>
      </c>
      <c r="AL192" s="950">
        <v>0</v>
      </c>
      <c r="AM192" s="950">
        <v>0</v>
      </c>
      <c r="AN192" s="950">
        <v>0</v>
      </c>
      <c r="AO192" s="950">
        <v>0</v>
      </c>
      <c r="AP192" s="950">
        <v>0</v>
      </c>
      <c r="AQ192" s="950">
        <v>0</v>
      </c>
      <c r="AR192" s="950">
        <v>0</v>
      </c>
      <c r="AS192" s="950">
        <v>0</v>
      </c>
      <c r="AT192" s="950">
        <v>0</v>
      </c>
      <c r="AU192" s="950">
        <v>0</v>
      </c>
      <c r="AV192" s="950">
        <v>0</v>
      </c>
      <c r="AW192" s="950">
        <v>0</v>
      </c>
      <c r="AX192" s="959"/>
      <c r="AY192" s="959"/>
      <c r="AZ192" s="959"/>
      <c r="BA192" s="968"/>
    </row>
    <row r="193" spans="1:53" ht="11.4">
      <c r="A193" s="809">
        <v>2</v>
      </c>
      <c r="B193" s="927" t="s">
        <v>408</v>
      </c>
      <c r="C193" s="927"/>
      <c r="D193" s="927" t="s">
        <v>1440</v>
      </c>
      <c r="E193" s="927"/>
      <c r="F193" s="927"/>
      <c r="G193" s="927"/>
      <c r="H193" s="927"/>
      <c r="I193" s="927"/>
      <c r="J193" s="927"/>
      <c r="K193" s="927"/>
      <c r="L193" s="953" t="s">
        <v>136</v>
      </c>
      <c r="M193" s="960" t="s">
        <v>584</v>
      </c>
      <c r="N193" s="955" t="s">
        <v>352</v>
      </c>
      <c r="O193" s="388">
        <v>0</v>
      </c>
      <c r="P193" s="388">
        <v>0</v>
      </c>
      <c r="Q193" s="388">
        <v>0</v>
      </c>
      <c r="R193" s="961">
        <v>0</v>
      </c>
      <c r="S193" s="388">
        <v>0</v>
      </c>
      <c r="T193" s="388">
        <v>0</v>
      </c>
      <c r="U193" s="388">
        <v>0</v>
      </c>
      <c r="V193" s="388">
        <v>0</v>
      </c>
      <c r="W193" s="388">
        <v>0</v>
      </c>
      <c r="X193" s="388">
        <v>0</v>
      </c>
      <c r="Y193" s="388">
        <v>0</v>
      </c>
      <c r="Z193" s="388">
        <v>0</v>
      </c>
      <c r="AA193" s="388">
        <v>0</v>
      </c>
      <c r="AB193" s="388">
        <v>0</v>
      </c>
      <c r="AC193" s="388">
        <v>0</v>
      </c>
      <c r="AD193" s="388">
        <v>0</v>
      </c>
      <c r="AE193" s="388">
        <v>0</v>
      </c>
      <c r="AF193" s="388">
        <v>0</v>
      </c>
      <c r="AG193" s="388">
        <v>0</v>
      </c>
      <c r="AH193" s="388">
        <v>0</v>
      </c>
      <c r="AI193" s="388">
        <v>0</v>
      </c>
      <c r="AJ193" s="388">
        <v>0</v>
      </c>
      <c r="AK193" s="388">
        <v>0</v>
      </c>
      <c r="AL193" s="388">
        <v>0</v>
      </c>
      <c r="AM193" s="388">
        <v>0</v>
      </c>
      <c r="AN193" s="961">
        <v>0</v>
      </c>
      <c r="AO193" s="961">
        <v>0</v>
      </c>
      <c r="AP193" s="961">
        <v>0</v>
      </c>
      <c r="AQ193" s="961">
        <v>0</v>
      </c>
      <c r="AR193" s="961">
        <v>0</v>
      </c>
      <c r="AS193" s="961">
        <v>0</v>
      </c>
      <c r="AT193" s="961">
        <v>0</v>
      </c>
      <c r="AU193" s="961">
        <v>0</v>
      </c>
      <c r="AV193" s="961">
        <v>0</v>
      </c>
      <c r="AW193" s="961">
        <v>0</v>
      </c>
      <c r="AX193" s="796"/>
      <c r="AY193" s="796"/>
      <c r="AZ193" s="796"/>
      <c r="BA193" s="927"/>
    </row>
    <row r="194" spans="1:53" ht="11.4">
      <c r="A194" s="809">
        <v>2</v>
      </c>
      <c r="B194" s="927" t="s">
        <v>409</v>
      </c>
      <c r="C194" s="927"/>
      <c r="D194" s="927" t="s">
        <v>1441</v>
      </c>
      <c r="E194" s="927"/>
      <c r="F194" s="927"/>
      <c r="G194" s="927"/>
      <c r="H194" s="927"/>
      <c r="I194" s="927"/>
      <c r="J194" s="927"/>
      <c r="K194" s="927"/>
      <c r="L194" s="953" t="s">
        <v>585</v>
      </c>
      <c r="M194" s="960" t="s">
        <v>586</v>
      </c>
      <c r="N194" s="955" t="s">
        <v>352</v>
      </c>
      <c r="O194" s="388">
        <v>0</v>
      </c>
      <c r="P194" s="388">
        <v>0</v>
      </c>
      <c r="Q194" s="388">
        <v>0</v>
      </c>
      <c r="R194" s="961">
        <v>0</v>
      </c>
      <c r="S194" s="388">
        <v>0</v>
      </c>
      <c r="T194" s="388">
        <v>0</v>
      </c>
      <c r="U194" s="388">
        <v>0</v>
      </c>
      <c r="V194" s="388">
        <v>0</v>
      </c>
      <c r="W194" s="388">
        <v>0</v>
      </c>
      <c r="X194" s="388">
        <v>0</v>
      </c>
      <c r="Y194" s="388">
        <v>0</v>
      </c>
      <c r="Z194" s="388">
        <v>0</v>
      </c>
      <c r="AA194" s="388">
        <v>0</v>
      </c>
      <c r="AB194" s="388">
        <v>0</v>
      </c>
      <c r="AC194" s="388">
        <v>0</v>
      </c>
      <c r="AD194" s="388">
        <v>0</v>
      </c>
      <c r="AE194" s="388">
        <v>0</v>
      </c>
      <c r="AF194" s="388">
        <v>0</v>
      </c>
      <c r="AG194" s="388">
        <v>0</v>
      </c>
      <c r="AH194" s="388">
        <v>0</v>
      </c>
      <c r="AI194" s="388">
        <v>0</v>
      </c>
      <c r="AJ194" s="388">
        <v>0</v>
      </c>
      <c r="AK194" s="388">
        <v>0</v>
      </c>
      <c r="AL194" s="388">
        <v>0</v>
      </c>
      <c r="AM194" s="388">
        <v>0</v>
      </c>
      <c r="AN194" s="961">
        <v>0</v>
      </c>
      <c r="AO194" s="961">
        <v>0</v>
      </c>
      <c r="AP194" s="961">
        <v>0</v>
      </c>
      <c r="AQ194" s="961">
        <v>0</v>
      </c>
      <c r="AR194" s="961">
        <v>0</v>
      </c>
      <c r="AS194" s="961">
        <v>0</v>
      </c>
      <c r="AT194" s="961">
        <v>0</v>
      </c>
      <c r="AU194" s="961">
        <v>0</v>
      </c>
      <c r="AV194" s="961">
        <v>0</v>
      </c>
      <c r="AW194" s="961">
        <v>0</v>
      </c>
      <c r="AX194" s="796"/>
      <c r="AY194" s="796"/>
      <c r="AZ194" s="796"/>
      <c r="BA194" s="927"/>
    </row>
    <row r="195" spans="1:53" ht="11.4">
      <c r="A195" s="809">
        <v>2</v>
      </c>
      <c r="B195" s="927" t="s">
        <v>404</v>
      </c>
      <c r="C195" s="927"/>
      <c r="D195" s="927" t="s">
        <v>1568</v>
      </c>
      <c r="E195" s="927"/>
      <c r="F195" s="927"/>
      <c r="G195" s="927"/>
      <c r="H195" s="927"/>
      <c r="I195" s="927"/>
      <c r="J195" s="927"/>
      <c r="K195" s="927"/>
      <c r="L195" s="953" t="s">
        <v>587</v>
      </c>
      <c r="M195" s="960" t="s">
        <v>588</v>
      </c>
      <c r="N195" s="955" t="s">
        <v>352</v>
      </c>
      <c r="O195" s="388">
        <v>0</v>
      </c>
      <c r="P195" s="388">
        <v>0</v>
      </c>
      <c r="Q195" s="388">
        <v>0</v>
      </c>
      <c r="R195" s="961">
        <v>0</v>
      </c>
      <c r="S195" s="388">
        <v>0</v>
      </c>
      <c r="T195" s="388">
        <v>0</v>
      </c>
      <c r="U195" s="388">
        <v>0</v>
      </c>
      <c r="V195" s="388">
        <v>0</v>
      </c>
      <c r="W195" s="388">
        <v>0</v>
      </c>
      <c r="X195" s="388">
        <v>0</v>
      </c>
      <c r="Y195" s="388">
        <v>0</v>
      </c>
      <c r="Z195" s="388">
        <v>0</v>
      </c>
      <c r="AA195" s="388">
        <v>0</v>
      </c>
      <c r="AB195" s="388">
        <v>0</v>
      </c>
      <c r="AC195" s="388">
        <v>0</v>
      </c>
      <c r="AD195" s="388">
        <v>0</v>
      </c>
      <c r="AE195" s="388">
        <v>0</v>
      </c>
      <c r="AF195" s="388">
        <v>0</v>
      </c>
      <c r="AG195" s="388">
        <v>0</v>
      </c>
      <c r="AH195" s="388">
        <v>0</v>
      </c>
      <c r="AI195" s="388">
        <v>0</v>
      </c>
      <c r="AJ195" s="388">
        <v>0</v>
      </c>
      <c r="AK195" s="388">
        <v>0</v>
      </c>
      <c r="AL195" s="388">
        <v>0</v>
      </c>
      <c r="AM195" s="388">
        <v>0</v>
      </c>
      <c r="AN195" s="961">
        <v>0</v>
      </c>
      <c r="AO195" s="961">
        <v>0</v>
      </c>
      <c r="AP195" s="961">
        <v>0</v>
      </c>
      <c r="AQ195" s="961">
        <v>0</v>
      </c>
      <c r="AR195" s="961">
        <v>0</v>
      </c>
      <c r="AS195" s="961">
        <v>0</v>
      </c>
      <c r="AT195" s="961">
        <v>0</v>
      </c>
      <c r="AU195" s="961">
        <v>0</v>
      </c>
      <c r="AV195" s="961">
        <v>0</v>
      </c>
      <c r="AW195" s="961">
        <v>0</v>
      </c>
      <c r="AX195" s="796"/>
      <c r="AY195" s="796"/>
      <c r="AZ195" s="796"/>
      <c r="BA195" s="927"/>
    </row>
    <row r="196" spans="1:53" ht="11.4">
      <c r="A196" s="809">
        <v>2</v>
      </c>
      <c r="B196" s="927" t="s">
        <v>402</v>
      </c>
      <c r="C196" s="927"/>
      <c r="D196" s="927" t="s">
        <v>1569</v>
      </c>
      <c r="E196" s="927"/>
      <c r="F196" s="927"/>
      <c r="G196" s="927"/>
      <c r="H196" s="927"/>
      <c r="I196" s="927"/>
      <c r="J196" s="927"/>
      <c r="K196" s="927"/>
      <c r="L196" s="953" t="s">
        <v>589</v>
      </c>
      <c r="M196" s="960" t="s">
        <v>590</v>
      </c>
      <c r="N196" s="955" t="s">
        <v>352</v>
      </c>
      <c r="O196" s="388">
        <v>0</v>
      </c>
      <c r="P196" s="388">
        <v>0</v>
      </c>
      <c r="Q196" s="388">
        <v>0</v>
      </c>
      <c r="R196" s="961">
        <v>0</v>
      </c>
      <c r="S196" s="388">
        <v>0</v>
      </c>
      <c r="T196" s="388">
        <v>0</v>
      </c>
      <c r="U196" s="388">
        <v>0</v>
      </c>
      <c r="V196" s="388">
        <v>0</v>
      </c>
      <c r="W196" s="388">
        <v>0</v>
      </c>
      <c r="X196" s="388">
        <v>0</v>
      </c>
      <c r="Y196" s="388">
        <v>0</v>
      </c>
      <c r="Z196" s="388">
        <v>0</v>
      </c>
      <c r="AA196" s="388">
        <v>0</v>
      </c>
      <c r="AB196" s="388">
        <v>0</v>
      </c>
      <c r="AC196" s="388">
        <v>0</v>
      </c>
      <c r="AD196" s="388">
        <v>0</v>
      </c>
      <c r="AE196" s="388">
        <v>0</v>
      </c>
      <c r="AF196" s="388">
        <v>0</v>
      </c>
      <c r="AG196" s="388">
        <v>0</v>
      </c>
      <c r="AH196" s="388">
        <v>0</v>
      </c>
      <c r="AI196" s="388">
        <v>0</v>
      </c>
      <c r="AJ196" s="388">
        <v>0</v>
      </c>
      <c r="AK196" s="388">
        <v>0</v>
      </c>
      <c r="AL196" s="388">
        <v>0</v>
      </c>
      <c r="AM196" s="388">
        <v>0</v>
      </c>
      <c r="AN196" s="961">
        <v>0</v>
      </c>
      <c r="AO196" s="961">
        <v>0</v>
      </c>
      <c r="AP196" s="961">
        <v>0</v>
      </c>
      <c r="AQ196" s="961">
        <v>0</v>
      </c>
      <c r="AR196" s="961">
        <v>0</v>
      </c>
      <c r="AS196" s="961">
        <v>0</v>
      </c>
      <c r="AT196" s="961">
        <v>0</v>
      </c>
      <c r="AU196" s="961">
        <v>0</v>
      </c>
      <c r="AV196" s="961">
        <v>0</v>
      </c>
      <c r="AW196" s="961">
        <v>0</v>
      </c>
      <c r="AX196" s="796"/>
      <c r="AY196" s="796"/>
      <c r="AZ196" s="796"/>
      <c r="BA196" s="927"/>
    </row>
    <row r="197" spans="1:53" ht="11.4">
      <c r="A197" s="809">
        <v>2</v>
      </c>
      <c r="B197" s="927" t="s">
        <v>410</v>
      </c>
      <c r="C197" s="927"/>
      <c r="D197" s="927" t="s">
        <v>1570</v>
      </c>
      <c r="E197" s="927"/>
      <c r="F197" s="927"/>
      <c r="G197" s="927"/>
      <c r="H197" s="927"/>
      <c r="I197" s="927"/>
      <c r="J197" s="927"/>
      <c r="K197" s="927"/>
      <c r="L197" s="953" t="s">
        <v>591</v>
      </c>
      <c r="M197" s="960" t="s">
        <v>592</v>
      </c>
      <c r="N197" s="955" t="s">
        <v>352</v>
      </c>
      <c r="O197" s="388">
        <v>0</v>
      </c>
      <c r="P197" s="388">
        <v>0</v>
      </c>
      <c r="Q197" s="388">
        <v>0</v>
      </c>
      <c r="R197" s="961">
        <v>0</v>
      </c>
      <c r="S197" s="388">
        <v>0</v>
      </c>
      <c r="T197" s="388">
        <v>0</v>
      </c>
      <c r="U197" s="388">
        <v>0</v>
      </c>
      <c r="V197" s="388">
        <v>0</v>
      </c>
      <c r="W197" s="388">
        <v>0</v>
      </c>
      <c r="X197" s="388">
        <v>0</v>
      </c>
      <c r="Y197" s="388">
        <v>0</v>
      </c>
      <c r="Z197" s="388">
        <v>0</v>
      </c>
      <c r="AA197" s="388">
        <v>0</v>
      </c>
      <c r="AB197" s="388">
        <v>0</v>
      </c>
      <c r="AC197" s="388">
        <v>0</v>
      </c>
      <c r="AD197" s="388">
        <v>0</v>
      </c>
      <c r="AE197" s="388">
        <v>0</v>
      </c>
      <c r="AF197" s="388">
        <v>0</v>
      </c>
      <c r="AG197" s="388">
        <v>0</v>
      </c>
      <c r="AH197" s="388">
        <v>0</v>
      </c>
      <c r="AI197" s="388">
        <v>0</v>
      </c>
      <c r="AJ197" s="388">
        <v>0</v>
      </c>
      <c r="AK197" s="388">
        <v>0</v>
      </c>
      <c r="AL197" s="388">
        <v>0</v>
      </c>
      <c r="AM197" s="388">
        <v>0</v>
      </c>
      <c r="AN197" s="961">
        <v>0</v>
      </c>
      <c r="AO197" s="961">
        <v>0</v>
      </c>
      <c r="AP197" s="961">
        <v>0</v>
      </c>
      <c r="AQ197" s="961">
        <v>0</v>
      </c>
      <c r="AR197" s="961">
        <v>0</v>
      </c>
      <c r="AS197" s="961">
        <v>0</v>
      </c>
      <c r="AT197" s="961">
        <v>0</v>
      </c>
      <c r="AU197" s="961">
        <v>0</v>
      </c>
      <c r="AV197" s="961">
        <v>0</v>
      </c>
      <c r="AW197" s="961">
        <v>0</v>
      </c>
      <c r="AX197" s="796"/>
      <c r="AY197" s="796"/>
      <c r="AZ197" s="796"/>
      <c r="BA197" s="927"/>
    </row>
    <row r="198" spans="1:53" ht="11.4">
      <c r="A198" s="809">
        <v>2</v>
      </c>
      <c r="B198" s="927"/>
      <c r="C198" s="927"/>
      <c r="D198" s="927" t="s">
        <v>1571</v>
      </c>
      <c r="E198" s="927"/>
      <c r="F198" s="927"/>
      <c r="G198" s="927"/>
      <c r="H198" s="927"/>
      <c r="I198" s="927"/>
      <c r="J198" s="927"/>
      <c r="K198" s="927"/>
      <c r="L198" s="953" t="s">
        <v>593</v>
      </c>
      <c r="M198" s="960" t="s">
        <v>594</v>
      </c>
      <c r="N198" s="955" t="s">
        <v>352</v>
      </c>
      <c r="O198" s="811"/>
      <c r="P198" s="811"/>
      <c r="Q198" s="811"/>
      <c r="R198" s="961">
        <v>0</v>
      </c>
      <c r="S198" s="811"/>
      <c r="T198" s="811"/>
      <c r="U198" s="811"/>
      <c r="V198" s="811"/>
      <c r="W198" s="811"/>
      <c r="X198" s="811"/>
      <c r="Y198" s="811"/>
      <c r="Z198" s="811"/>
      <c r="AA198" s="811"/>
      <c r="AB198" s="811"/>
      <c r="AC198" s="811"/>
      <c r="AD198" s="811"/>
      <c r="AE198" s="811"/>
      <c r="AF198" s="811"/>
      <c r="AG198" s="811"/>
      <c r="AH198" s="811"/>
      <c r="AI198" s="811"/>
      <c r="AJ198" s="811"/>
      <c r="AK198" s="811"/>
      <c r="AL198" s="811"/>
      <c r="AM198" s="811"/>
      <c r="AN198" s="961">
        <v>0</v>
      </c>
      <c r="AO198" s="961">
        <v>0</v>
      </c>
      <c r="AP198" s="961">
        <v>0</v>
      </c>
      <c r="AQ198" s="961">
        <v>0</v>
      </c>
      <c r="AR198" s="961">
        <v>0</v>
      </c>
      <c r="AS198" s="961">
        <v>0</v>
      </c>
      <c r="AT198" s="961">
        <v>0</v>
      </c>
      <c r="AU198" s="961">
        <v>0</v>
      </c>
      <c r="AV198" s="961">
        <v>0</v>
      </c>
      <c r="AW198" s="961">
        <v>0</v>
      </c>
      <c r="AX198" s="796"/>
      <c r="AY198" s="796"/>
      <c r="AZ198" s="796"/>
      <c r="BA198" s="927"/>
    </row>
    <row r="199" spans="1:53" ht="11.4">
      <c r="A199" s="809">
        <v>2</v>
      </c>
      <c r="B199" s="927"/>
      <c r="C199" s="927"/>
      <c r="D199" s="927" t="s">
        <v>1572</v>
      </c>
      <c r="E199" s="927"/>
      <c r="F199" s="927"/>
      <c r="G199" s="927"/>
      <c r="H199" s="927"/>
      <c r="I199" s="927"/>
      <c r="J199" s="927"/>
      <c r="K199" s="927"/>
      <c r="L199" s="953" t="s">
        <v>595</v>
      </c>
      <c r="M199" s="960" t="s">
        <v>596</v>
      </c>
      <c r="N199" s="955" t="s">
        <v>352</v>
      </c>
      <c r="O199" s="811"/>
      <c r="P199" s="811"/>
      <c r="Q199" s="811"/>
      <c r="R199" s="961">
        <v>0</v>
      </c>
      <c r="S199" s="811"/>
      <c r="T199" s="811"/>
      <c r="U199" s="811"/>
      <c r="V199" s="811"/>
      <c r="W199" s="811"/>
      <c r="X199" s="811"/>
      <c r="Y199" s="811"/>
      <c r="Z199" s="811"/>
      <c r="AA199" s="811"/>
      <c r="AB199" s="811"/>
      <c r="AC199" s="811"/>
      <c r="AD199" s="811"/>
      <c r="AE199" s="811"/>
      <c r="AF199" s="811"/>
      <c r="AG199" s="811"/>
      <c r="AH199" s="811"/>
      <c r="AI199" s="811"/>
      <c r="AJ199" s="811"/>
      <c r="AK199" s="811"/>
      <c r="AL199" s="811"/>
      <c r="AM199" s="811"/>
      <c r="AN199" s="961">
        <v>0</v>
      </c>
      <c r="AO199" s="961">
        <v>0</v>
      </c>
      <c r="AP199" s="961">
        <v>0</v>
      </c>
      <c r="AQ199" s="961">
        <v>0</v>
      </c>
      <c r="AR199" s="961">
        <v>0</v>
      </c>
      <c r="AS199" s="961">
        <v>0</v>
      </c>
      <c r="AT199" s="961">
        <v>0</v>
      </c>
      <c r="AU199" s="961">
        <v>0</v>
      </c>
      <c r="AV199" s="961">
        <v>0</v>
      </c>
      <c r="AW199" s="961">
        <v>0</v>
      </c>
      <c r="AX199" s="796"/>
      <c r="AY199" s="796"/>
      <c r="AZ199" s="796"/>
      <c r="BA199" s="927"/>
    </row>
    <row r="200" spans="1:53" ht="11.4">
      <c r="A200" s="809">
        <v>2</v>
      </c>
      <c r="B200" s="927" t="s">
        <v>406</v>
      </c>
      <c r="C200" s="927"/>
      <c r="D200" s="927" t="s">
        <v>1573</v>
      </c>
      <c r="E200" s="927"/>
      <c r="F200" s="927"/>
      <c r="G200" s="927"/>
      <c r="H200" s="927"/>
      <c r="I200" s="927"/>
      <c r="J200" s="927"/>
      <c r="K200" s="927"/>
      <c r="L200" s="953" t="s">
        <v>597</v>
      </c>
      <c r="M200" s="960" t="s">
        <v>598</v>
      </c>
      <c r="N200" s="955" t="s">
        <v>352</v>
      </c>
      <c r="O200" s="388">
        <v>0</v>
      </c>
      <c r="P200" s="388">
        <v>0</v>
      </c>
      <c r="Q200" s="388">
        <v>0</v>
      </c>
      <c r="R200" s="961">
        <v>0</v>
      </c>
      <c r="S200" s="388">
        <v>0</v>
      </c>
      <c r="T200" s="388">
        <v>0</v>
      </c>
      <c r="U200" s="388">
        <v>0</v>
      </c>
      <c r="V200" s="388">
        <v>0</v>
      </c>
      <c r="W200" s="388">
        <v>0</v>
      </c>
      <c r="X200" s="388">
        <v>0</v>
      </c>
      <c r="Y200" s="388">
        <v>0</v>
      </c>
      <c r="Z200" s="388">
        <v>0</v>
      </c>
      <c r="AA200" s="388">
        <v>0</v>
      </c>
      <c r="AB200" s="388">
        <v>0</v>
      </c>
      <c r="AC200" s="388">
        <v>0</v>
      </c>
      <c r="AD200" s="388">
        <v>0</v>
      </c>
      <c r="AE200" s="388">
        <v>0</v>
      </c>
      <c r="AF200" s="388">
        <v>0</v>
      </c>
      <c r="AG200" s="388">
        <v>0</v>
      </c>
      <c r="AH200" s="388">
        <v>0</v>
      </c>
      <c r="AI200" s="388">
        <v>0</v>
      </c>
      <c r="AJ200" s="388">
        <v>0</v>
      </c>
      <c r="AK200" s="388">
        <v>0</v>
      </c>
      <c r="AL200" s="388">
        <v>0</v>
      </c>
      <c r="AM200" s="388">
        <v>0</v>
      </c>
      <c r="AN200" s="961">
        <v>0</v>
      </c>
      <c r="AO200" s="961">
        <v>0</v>
      </c>
      <c r="AP200" s="961">
        <v>0</v>
      </c>
      <c r="AQ200" s="961">
        <v>0</v>
      </c>
      <c r="AR200" s="961">
        <v>0</v>
      </c>
      <c r="AS200" s="961">
        <v>0</v>
      </c>
      <c r="AT200" s="961">
        <v>0</v>
      </c>
      <c r="AU200" s="961">
        <v>0</v>
      </c>
      <c r="AV200" s="961">
        <v>0</v>
      </c>
      <c r="AW200" s="961">
        <v>0</v>
      </c>
      <c r="AX200" s="796"/>
      <c r="AY200" s="796"/>
      <c r="AZ200" s="796"/>
      <c r="BA200" s="927"/>
    </row>
    <row r="201" spans="1:53" ht="11.4">
      <c r="A201" s="809">
        <v>2</v>
      </c>
      <c r="B201" s="927" t="s">
        <v>407</v>
      </c>
      <c r="C201" s="927"/>
      <c r="D201" s="927" t="s">
        <v>1574</v>
      </c>
      <c r="E201" s="927"/>
      <c r="F201" s="927"/>
      <c r="G201" s="927"/>
      <c r="H201" s="927"/>
      <c r="I201" s="927"/>
      <c r="J201" s="927"/>
      <c r="K201" s="927"/>
      <c r="L201" s="953" t="s">
        <v>599</v>
      </c>
      <c r="M201" s="960" t="s">
        <v>600</v>
      </c>
      <c r="N201" s="955" t="s">
        <v>352</v>
      </c>
      <c r="O201" s="388">
        <v>0</v>
      </c>
      <c r="P201" s="388">
        <v>0</v>
      </c>
      <c r="Q201" s="388">
        <v>0</v>
      </c>
      <c r="R201" s="961">
        <v>0</v>
      </c>
      <c r="S201" s="388">
        <v>0</v>
      </c>
      <c r="T201" s="388">
        <v>0</v>
      </c>
      <c r="U201" s="388">
        <v>0</v>
      </c>
      <c r="V201" s="388">
        <v>0</v>
      </c>
      <c r="W201" s="388">
        <v>0</v>
      </c>
      <c r="X201" s="388">
        <v>0</v>
      </c>
      <c r="Y201" s="388">
        <v>0</v>
      </c>
      <c r="Z201" s="388">
        <v>0</v>
      </c>
      <c r="AA201" s="388">
        <v>0</v>
      </c>
      <c r="AB201" s="388">
        <v>0</v>
      </c>
      <c r="AC201" s="388">
        <v>0</v>
      </c>
      <c r="AD201" s="388">
        <v>0</v>
      </c>
      <c r="AE201" s="388">
        <v>0</v>
      </c>
      <c r="AF201" s="388">
        <v>0</v>
      </c>
      <c r="AG201" s="388">
        <v>0</v>
      </c>
      <c r="AH201" s="388">
        <v>0</v>
      </c>
      <c r="AI201" s="388">
        <v>0</v>
      </c>
      <c r="AJ201" s="388">
        <v>0</v>
      </c>
      <c r="AK201" s="388">
        <v>0</v>
      </c>
      <c r="AL201" s="388">
        <v>0</v>
      </c>
      <c r="AM201" s="388">
        <v>0</v>
      </c>
      <c r="AN201" s="961">
        <v>0</v>
      </c>
      <c r="AO201" s="961">
        <v>0</v>
      </c>
      <c r="AP201" s="961">
        <v>0</v>
      </c>
      <c r="AQ201" s="961">
        <v>0</v>
      </c>
      <c r="AR201" s="961">
        <v>0</v>
      </c>
      <c r="AS201" s="961">
        <v>0</v>
      </c>
      <c r="AT201" s="961">
        <v>0</v>
      </c>
      <c r="AU201" s="961">
        <v>0</v>
      </c>
      <c r="AV201" s="961">
        <v>0</v>
      </c>
      <c r="AW201" s="961">
        <v>0</v>
      </c>
      <c r="AX201" s="796"/>
      <c r="AY201" s="796"/>
      <c r="AZ201" s="796"/>
      <c r="BA201" s="927"/>
    </row>
    <row r="202" spans="1:53" ht="11.4">
      <c r="A202" s="809">
        <v>2</v>
      </c>
      <c r="B202" s="927" t="s">
        <v>1293</v>
      </c>
      <c r="C202" s="927"/>
      <c r="D202" s="927" t="s">
        <v>1575</v>
      </c>
      <c r="E202" s="927"/>
      <c r="F202" s="927"/>
      <c r="G202" s="927"/>
      <c r="H202" s="927"/>
      <c r="I202" s="927"/>
      <c r="J202" s="927"/>
      <c r="K202" s="927"/>
      <c r="L202" s="953" t="s">
        <v>1305</v>
      </c>
      <c r="M202" s="960" t="s">
        <v>1306</v>
      </c>
      <c r="N202" s="955" t="s">
        <v>352</v>
      </c>
      <c r="O202" s="388">
        <v>0</v>
      </c>
      <c r="P202" s="388">
        <v>0</v>
      </c>
      <c r="Q202" s="388">
        <v>0</v>
      </c>
      <c r="R202" s="961">
        <v>0</v>
      </c>
      <c r="S202" s="388">
        <v>0</v>
      </c>
      <c r="T202" s="388">
        <v>0</v>
      </c>
      <c r="U202" s="388">
        <v>0</v>
      </c>
      <c r="V202" s="388">
        <v>0</v>
      </c>
      <c r="W202" s="388">
        <v>0</v>
      </c>
      <c r="X202" s="388">
        <v>0</v>
      </c>
      <c r="Y202" s="388">
        <v>0</v>
      </c>
      <c r="Z202" s="388">
        <v>0</v>
      </c>
      <c r="AA202" s="388">
        <v>0</v>
      </c>
      <c r="AB202" s="388">
        <v>0</v>
      </c>
      <c r="AC202" s="388">
        <v>0</v>
      </c>
      <c r="AD202" s="388">
        <v>0</v>
      </c>
      <c r="AE202" s="388">
        <v>0</v>
      </c>
      <c r="AF202" s="388">
        <v>0</v>
      </c>
      <c r="AG202" s="388">
        <v>0</v>
      </c>
      <c r="AH202" s="388">
        <v>0</v>
      </c>
      <c r="AI202" s="388">
        <v>0</v>
      </c>
      <c r="AJ202" s="388">
        <v>0</v>
      </c>
      <c r="AK202" s="388">
        <v>0</v>
      </c>
      <c r="AL202" s="388">
        <v>0</v>
      </c>
      <c r="AM202" s="388">
        <v>0</v>
      </c>
      <c r="AN202" s="961">
        <v>0</v>
      </c>
      <c r="AO202" s="961">
        <v>0</v>
      </c>
      <c r="AP202" s="961">
        <v>0</v>
      </c>
      <c r="AQ202" s="961">
        <v>0</v>
      </c>
      <c r="AR202" s="961">
        <v>0</v>
      </c>
      <c r="AS202" s="961">
        <v>0</v>
      </c>
      <c r="AT202" s="961">
        <v>0</v>
      </c>
      <c r="AU202" s="961">
        <v>0</v>
      </c>
      <c r="AV202" s="961">
        <v>0</v>
      </c>
      <c r="AW202" s="961">
        <v>0</v>
      </c>
      <c r="AX202" s="796"/>
      <c r="AY202" s="796"/>
      <c r="AZ202" s="796"/>
      <c r="BA202" s="927"/>
    </row>
    <row r="203" spans="1:53" ht="11.4">
      <c r="A203" s="809">
        <v>2</v>
      </c>
      <c r="B203" s="927"/>
      <c r="C203" s="927"/>
      <c r="D203" s="927" t="s">
        <v>1576</v>
      </c>
      <c r="E203" s="927"/>
      <c r="F203" s="927"/>
      <c r="G203" s="927"/>
      <c r="H203" s="927"/>
      <c r="I203" s="927"/>
      <c r="J203" s="927"/>
      <c r="K203" s="927"/>
      <c r="L203" s="953" t="s">
        <v>138</v>
      </c>
      <c r="M203" s="954" t="s">
        <v>601</v>
      </c>
      <c r="N203" s="881" t="s">
        <v>352</v>
      </c>
      <c r="O203" s="388">
        <v>0</v>
      </c>
      <c r="P203" s="388">
        <v>0</v>
      </c>
      <c r="Q203" s="388">
        <v>0</v>
      </c>
      <c r="R203" s="961">
        <v>0</v>
      </c>
      <c r="S203" s="388">
        <v>0</v>
      </c>
      <c r="T203" s="388">
        <v>0</v>
      </c>
      <c r="U203" s="388">
        <v>0</v>
      </c>
      <c r="V203" s="388">
        <v>0</v>
      </c>
      <c r="W203" s="388">
        <v>0</v>
      </c>
      <c r="X203" s="388">
        <v>0</v>
      </c>
      <c r="Y203" s="388">
        <v>0</v>
      </c>
      <c r="Z203" s="388">
        <v>0</v>
      </c>
      <c r="AA203" s="388">
        <v>0</v>
      </c>
      <c r="AB203" s="388">
        <v>0</v>
      </c>
      <c r="AC203" s="388">
        <v>0</v>
      </c>
      <c r="AD203" s="388">
        <v>0</v>
      </c>
      <c r="AE203" s="388">
        <v>0</v>
      </c>
      <c r="AF203" s="388">
        <v>0</v>
      </c>
      <c r="AG203" s="388">
        <v>0</v>
      </c>
      <c r="AH203" s="388">
        <v>0</v>
      </c>
      <c r="AI203" s="388">
        <v>0</v>
      </c>
      <c r="AJ203" s="388">
        <v>0</v>
      </c>
      <c r="AK203" s="388">
        <v>0</v>
      </c>
      <c r="AL203" s="388">
        <v>0</v>
      </c>
      <c r="AM203" s="388">
        <v>0</v>
      </c>
      <c r="AN203" s="961">
        <v>0</v>
      </c>
      <c r="AO203" s="961">
        <v>0</v>
      </c>
      <c r="AP203" s="961">
        <v>0</v>
      </c>
      <c r="AQ203" s="961">
        <v>0</v>
      </c>
      <c r="AR203" s="961">
        <v>0</v>
      </c>
      <c r="AS203" s="961">
        <v>0</v>
      </c>
      <c r="AT203" s="961">
        <v>0</v>
      </c>
      <c r="AU203" s="961">
        <v>0</v>
      </c>
      <c r="AV203" s="961">
        <v>0</v>
      </c>
      <c r="AW203" s="961">
        <v>0</v>
      </c>
      <c r="AX203" s="796"/>
      <c r="AY203" s="796"/>
      <c r="AZ203" s="796"/>
      <c r="BA203" s="927"/>
    </row>
    <row r="204" spans="1:53" s="109" customFormat="1" ht="11.4">
      <c r="A204" s="809">
        <v>2</v>
      </c>
      <c r="B204" s="968"/>
      <c r="C204" s="927"/>
      <c r="D204" s="927" t="s">
        <v>1577</v>
      </c>
      <c r="E204" s="968"/>
      <c r="F204" s="968"/>
      <c r="G204" s="968"/>
      <c r="H204" s="968"/>
      <c r="I204" s="968"/>
      <c r="J204" s="968"/>
      <c r="K204" s="968"/>
      <c r="L204" s="969" t="s">
        <v>151</v>
      </c>
      <c r="M204" s="970" t="s">
        <v>602</v>
      </c>
      <c r="N204" s="971" t="s">
        <v>352</v>
      </c>
      <c r="O204" s="950">
        <v>0</v>
      </c>
      <c r="P204" s="950">
        <v>0</v>
      </c>
      <c r="Q204" s="950">
        <v>0</v>
      </c>
      <c r="R204" s="950">
        <v>0</v>
      </c>
      <c r="S204" s="950">
        <v>0</v>
      </c>
      <c r="T204" s="950">
        <v>0</v>
      </c>
      <c r="U204" s="950">
        <v>0</v>
      </c>
      <c r="V204" s="950">
        <v>0</v>
      </c>
      <c r="W204" s="950">
        <v>0</v>
      </c>
      <c r="X204" s="950">
        <v>0</v>
      </c>
      <c r="Y204" s="950">
        <v>0</v>
      </c>
      <c r="Z204" s="950">
        <v>0</v>
      </c>
      <c r="AA204" s="950">
        <v>0</v>
      </c>
      <c r="AB204" s="950">
        <v>0</v>
      </c>
      <c r="AC204" s="950">
        <v>0</v>
      </c>
      <c r="AD204" s="950">
        <v>0</v>
      </c>
      <c r="AE204" s="950">
        <v>0</v>
      </c>
      <c r="AF204" s="950">
        <v>0</v>
      </c>
      <c r="AG204" s="950">
        <v>0</v>
      </c>
      <c r="AH204" s="950">
        <v>0</v>
      </c>
      <c r="AI204" s="950">
        <v>0</v>
      </c>
      <c r="AJ204" s="950">
        <v>0</v>
      </c>
      <c r="AK204" s="950">
        <v>0</v>
      </c>
      <c r="AL204" s="950">
        <v>0</v>
      </c>
      <c r="AM204" s="950">
        <v>0</v>
      </c>
      <c r="AN204" s="950">
        <v>0</v>
      </c>
      <c r="AO204" s="950">
        <v>0</v>
      </c>
      <c r="AP204" s="950">
        <v>0</v>
      </c>
      <c r="AQ204" s="950">
        <v>0</v>
      </c>
      <c r="AR204" s="950">
        <v>0</v>
      </c>
      <c r="AS204" s="950">
        <v>0</v>
      </c>
      <c r="AT204" s="950">
        <v>0</v>
      </c>
      <c r="AU204" s="950">
        <v>0</v>
      </c>
      <c r="AV204" s="950">
        <v>0</v>
      </c>
      <c r="AW204" s="950">
        <v>0</v>
      </c>
      <c r="AX204" s="959"/>
      <c r="AY204" s="959"/>
      <c r="AZ204" s="959"/>
      <c r="BA204" s="968"/>
    </row>
    <row r="205" spans="1:53" ht="11.4">
      <c r="A205" s="809">
        <v>2</v>
      </c>
      <c r="B205" s="927" t="s">
        <v>132</v>
      </c>
      <c r="C205" s="927"/>
      <c r="D205" s="927" t="s">
        <v>1578</v>
      </c>
      <c r="E205" s="927"/>
      <c r="F205" s="927"/>
      <c r="G205" s="927"/>
      <c r="H205" s="927"/>
      <c r="I205" s="927"/>
      <c r="J205" s="927"/>
      <c r="K205" s="927"/>
      <c r="L205" s="953" t="s">
        <v>152</v>
      </c>
      <c r="M205" s="960" t="s">
        <v>603</v>
      </c>
      <c r="N205" s="955" t="s">
        <v>352</v>
      </c>
      <c r="O205" s="388">
        <v>0</v>
      </c>
      <c r="P205" s="388">
        <v>0</v>
      </c>
      <c r="Q205" s="388">
        <v>0</v>
      </c>
      <c r="R205" s="961">
        <v>0</v>
      </c>
      <c r="S205" s="388">
        <v>0</v>
      </c>
      <c r="T205" s="388">
        <v>0</v>
      </c>
      <c r="U205" s="388">
        <v>0</v>
      </c>
      <c r="V205" s="388">
        <v>0</v>
      </c>
      <c r="W205" s="388">
        <v>0</v>
      </c>
      <c r="X205" s="388">
        <v>0</v>
      </c>
      <c r="Y205" s="388">
        <v>0</v>
      </c>
      <c r="Z205" s="388">
        <v>0</v>
      </c>
      <c r="AA205" s="388">
        <v>0</v>
      </c>
      <c r="AB205" s="388">
        <v>0</v>
      </c>
      <c r="AC205" s="388">
        <v>0</v>
      </c>
      <c r="AD205" s="388">
        <v>0</v>
      </c>
      <c r="AE205" s="388">
        <v>0</v>
      </c>
      <c r="AF205" s="388">
        <v>0</v>
      </c>
      <c r="AG205" s="388">
        <v>0</v>
      </c>
      <c r="AH205" s="388">
        <v>0</v>
      </c>
      <c r="AI205" s="388">
        <v>0</v>
      </c>
      <c r="AJ205" s="388">
        <v>0</v>
      </c>
      <c r="AK205" s="388">
        <v>0</v>
      </c>
      <c r="AL205" s="388">
        <v>0</v>
      </c>
      <c r="AM205" s="388">
        <v>0</v>
      </c>
      <c r="AN205" s="961">
        <v>0</v>
      </c>
      <c r="AO205" s="961">
        <v>0</v>
      </c>
      <c r="AP205" s="961">
        <v>0</v>
      </c>
      <c r="AQ205" s="961">
        <v>0</v>
      </c>
      <c r="AR205" s="961">
        <v>0</v>
      </c>
      <c r="AS205" s="961">
        <v>0</v>
      </c>
      <c r="AT205" s="961">
        <v>0</v>
      </c>
      <c r="AU205" s="961">
        <v>0</v>
      </c>
      <c r="AV205" s="961">
        <v>0</v>
      </c>
      <c r="AW205" s="961">
        <v>0</v>
      </c>
      <c r="AX205" s="796"/>
      <c r="AY205" s="796"/>
      <c r="AZ205" s="796"/>
      <c r="BA205" s="927"/>
    </row>
    <row r="206" spans="1:53" ht="11.4">
      <c r="A206" s="809">
        <v>2</v>
      </c>
      <c r="B206" s="927" t="s">
        <v>133</v>
      </c>
      <c r="C206" s="927"/>
      <c r="D206" s="927" t="s">
        <v>1579</v>
      </c>
      <c r="E206" s="927"/>
      <c r="F206" s="927"/>
      <c r="G206" s="927"/>
      <c r="H206" s="927"/>
      <c r="I206" s="927"/>
      <c r="J206" s="927"/>
      <c r="K206" s="927"/>
      <c r="L206" s="953" t="s">
        <v>604</v>
      </c>
      <c r="M206" s="960" t="s">
        <v>605</v>
      </c>
      <c r="N206" s="955" t="s">
        <v>352</v>
      </c>
      <c r="O206" s="388">
        <v>0</v>
      </c>
      <c r="P206" s="388">
        <v>0</v>
      </c>
      <c r="Q206" s="388">
        <v>0</v>
      </c>
      <c r="R206" s="961">
        <v>0</v>
      </c>
      <c r="S206" s="388">
        <v>0</v>
      </c>
      <c r="T206" s="388">
        <v>0</v>
      </c>
      <c r="U206" s="388">
        <v>0</v>
      </c>
      <c r="V206" s="388">
        <v>0</v>
      </c>
      <c r="W206" s="388">
        <v>0</v>
      </c>
      <c r="X206" s="388">
        <v>0</v>
      </c>
      <c r="Y206" s="388">
        <v>0</v>
      </c>
      <c r="Z206" s="388">
        <v>0</v>
      </c>
      <c r="AA206" s="388">
        <v>0</v>
      </c>
      <c r="AB206" s="388">
        <v>0</v>
      </c>
      <c r="AC206" s="388">
        <v>0</v>
      </c>
      <c r="AD206" s="388">
        <v>0</v>
      </c>
      <c r="AE206" s="388">
        <v>0</v>
      </c>
      <c r="AF206" s="388">
        <v>0</v>
      </c>
      <c r="AG206" s="388">
        <v>0</v>
      </c>
      <c r="AH206" s="388">
        <v>0</v>
      </c>
      <c r="AI206" s="388">
        <v>0</v>
      </c>
      <c r="AJ206" s="388">
        <v>0</v>
      </c>
      <c r="AK206" s="388">
        <v>0</v>
      </c>
      <c r="AL206" s="388">
        <v>0</v>
      </c>
      <c r="AM206" s="388">
        <v>0</v>
      </c>
      <c r="AN206" s="961">
        <v>0</v>
      </c>
      <c r="AO206" s="961">
        <v>0</v>
      </c>
      <c r="AP206" s="961">
        <v>0</v>
      </c>
      <c r="AQ206" s="961">
        <v>0</v>
      </c>
      <c r="AR206" s="961">
        <v>0</v>
      </c>
      <c r="AS206" s="961">
        <v>0</v>
      </c>
      <c r="AT206" s="961">
        <v>0</v>
      </c>
      <c r="AU206" s="961">
        <v>0</v>
      </c>
      <c r="AV206" s="961">
        <v>0</v>
      </c>
      <c r="AW206" s="961">
        <v>0</v>
      </c>
      <c r="AX206" s="796"/>
      <c r="AY206" s="796"/>
      <c r="AZ206" s="796"/>
      <c r="BA206" s="927"/>
    </row>
    <row r="207" spans="1:53" ht="11.4">
      <c r="A207" s="809">
        <v>2</v>
      </c>
      <c r="B207" s="927" t="s">
        <v>413</v>
      </c>
      <c r="C207" s="927"/>
      <c r="D207" s="927" t="s">
        <v>1580</v>
      </c>
      <c r="E207" s="927"/>
      <c r="F207" s="927"/>
      <c r="G207" s="927"/>
      <c r="H207" s="927"/>
      <c r="I207" s="927"/>
      <c r="J207" s="927"/>
      <c r="K207" s="927"/>
      <c r="L207" s="953" t="s">
        <v>606</v>
      </c>
      <c r="M207" s="960" t="s">
        <v>607</v>
      </c>
      <c r="N207" s="955" t="s">
        <v>352</v>
      </c>
      <c r="O207" s="388">
        <v>0</v>
      </c>
      <c r="P207" s="388">
        <v>0</v>
      </c>
      <c r="Q207" s="388">
        <v>0</v>
      </c>
      <c r="R207" s="961">
        <v>0</v>
      </c>
      <c r="S207" s="388">
        <v>0</v>
      </c>
      <c r="T207" s="388">
        <v>0</v>
      </c>
      <c r="U207" s="388">
        <v>0</v>
      </c>
      <c r="V207" s="388">
        <v>0</v>
      </c>
      <c r="W207" s="388">
        <v>0</v>
      </c>
      <c r="X207" s="388">
        <v>0</v>
      </c>
      <c r="Y207" s="388">
        <v>0</v>
      </c>
      <c r="Z207" s="388">
        <v>0</v>
      </c>
      <c r="AA207" s="388">
        <v>0</v>
      </c>
      <c r="AB207" s="388">
        <v>0</v>
      </c>
      <c r="AC207" s="388">
        <v>0</v>
      </c>
      <c r="AD207" s="388">
        <v>0</v>
      </c>
      <c r="AE207" s="388">
        <v>0</v>
      </c>
      <c r="AF207" s="388">
        <v>0</v>
      </c>
      <c r="AG207" s="388">
        <v>0</v>
      </c>
      <c r="AH207" s="388">
        <v>0</v>
      </c>
      <c r="AI207" s="388">
        <v>0</v>
      </c>
      <c r="AJ207" s="388">
        <v>0</v>
      </c>
      <c r="AK207" s="388">
        <v>0</v>
      </c>
      <c r="AL207" s="388">
        <v>0</v>
      </c>
      <c r="AM207" s="388">
        <v>0</v>
      </c>
      <c r="AN207" s="961">
        <v>0</v>
      </c>
      <c r="AO207" s="961">
        <v>0</v>
      </c>
      <c r="AP207" s="961">
        <v>0</v>
      </c>
      <c r="AQ207" s="961">
        <v>0</v>
      </c>
      <c r="AR207" s="961">
        <v>0</v>
      </c>
      <c r="AS207" s="961">
        <v>0</v>
      </c>
      <c r="AT207" s="961">
        <v>0</v>
      </c>
      <c r="AU207" s="961">
        <v>0</v>
      </c>
      <c r="AV207" s="961">
        <v>0</v>
      </c>
      <c r="AW207" s="961">
        <v>0</v>
      </c>
      <c r="AX207" s="796"/>
      <c r="AY207" s="796"/>
      <c r="AZ207" s="796"/>
      <c r="BA207" s="927"/>
    </row>
    <row r="208" spans="1:53" ht="11.4">
      <c r="A208" s="809">
        <v>2</v>
      </c>
      <c r="B208" s="927" t="s">
        <v>414</v>
      </c>
      <c r="C208" s="927"/>
      <c r="D208" s="927" t="s">
        <v>1581</v>
      </c>
      <c r="E208" s="927"/>
      <c r="F208" s="927"/>
      <c r="G208" s="927"/>
      <c r="H208" s="927"/>
      <c r="I208" s="927"/>
      <c r="J208" s="927"/>
      <c r="K208" s="927"/>
      <c r="L208" s="953" t="s">
        <v>608</v>
      </c>
      <c r="M208" s="960" t="s">
        <v>609</v>
      </c>
      <c r="N208" s="955" t="s">
        <v>352</v>
      </c>
      <c r="O208" s="388">
        <v>0</v>
      </c>
      <c r="P208" s="388">
        <v>0</v>
      </c>
      <c r="Q208" s="388">
        <v>0</v>
      </c>
      <c r="R208" s="961">
        <v>0</v>
      </c>
      <c r="S208" s="388">
        <v>0</v>
      </c>
      <c r="T208" s="388">
        <v>0</v>
      </c>
      <c r="U208" s="388">
        <v>0</v>
      </c>
      <c r="V208" s="388">
        <v>0</v>
      </c>
      <c r="W208" s="388">
        <v>0</v>
      </c>
      <c r="X208" s="388">
        <v>0</v>
      </c>
      <c r="Y208" s="388">
        <v>0</v>
      </c>
      <c r="Z208" s="388">
        <v>0</v>
      </c>
      <c r="AA208" s="388">
        <v>0</v>
      </c>
      <c r="AB208" s="388">
        <v>0</v>
      </c>
      <c r="AC208" s="388">
        <v>0</v>
      </c>
      <c r="AD208" s="388">
        <v>0</v>
      </c>
      <c r="AE208" s="388">
        <v>0</v>
      </c>
      <c r="AF208" s="388">
        <v>0</v>
      </c>
      <c r="AG208" s="388">
        <v>0</v>
      </c>
      <c r="AH208" s="388">
        <v>0</v>
      </c>
      <c r="AI208" s="388">
        <v>0</v>
      </c>
      <c r="AJ208" s="388">
        <v>0</v>
      </c>
      <c r="AK208" s="388">
        <v>0</v>
      </c>
      <c r="AL208" s="388">
        <v>0</v>
      </c>
      <c r="AM208" s="388">
        <v>0</v>
      </c>
      <c r="AN208" s="961">
        <v>0</v>
      </c>
      <c r="AO208" s="961">
        <v>0</v>
      </c>
      <c r="AP208" s="961">
        <v>0</v>
      </c>
      <c r="AQ208" s="961">
        <v>0</v>
      </c>
      <c r="AR208" s="961">
        <v>0</v>
      </c>
      <c r="AS208" s="961">
        <v>0</v>
      </c>
      <c r="AT208" s="961">
        <v>0</v>
      </c>
      <c r="AU208" s="961">
        <v>0</v>
      </c>
      <c r="AV208" s="961">
        <v>0</v>
      </c>
      <c r="AW208" s="961">
        <v>0</v>
      </c>
      <c r="AX208" s="796"/>
      <c r="AY208" s="796"/>
      <c r="AZ208" s="796"/>
      <c r="BA208" s="927"/>
    </row>
    <row r="209" spans="1:53" ht="11.4">
      <c r="A209" s="809">
        <v>2</v>
      </c>
      <c r="B209" s="927" t="s">
        <v>415</v>
      </c>
      <c r="C209" s="927"/>
      <c r="D209" s="927" t="s">
        <v>1582</v>
      </c>
      <c r="E209" s="927"/>
      <c r="F209" s="927"/>
      <c r="G209" s="927"/>
      <c r="H209" s="927"/>
      <c r="I209" s="927"/>
      <c r="J209" s="927"/>
      <c r="K209" s="927"/>
      <c r="L209" s="953" t="s">
        <v>610</v>
      </c>
      <c r="M209" s="960" t="s">
        <v>611</v>
      </c>
      <c r="N209" s="955" t="s">
        <v>352</v>
      </c>
      <c r="O209" s="388">
        <v>0</v>
      </c>
      <c r="P209" s="388">
        <v>0</v>
      </c>
      <c r="Q209" s="388">
        <v>0</v>
      </c>
      <c r="R209" s="961">
        <v>0</v>
      </c>
      <c r="S209" s="388">
        <v>0</v>
      </c>
      <c r="T209" s="388">
        <v>0</v>
      </c>
      <c r="U209" s="388">
        <v>0</v>
      </c>
      <c r="V209" s="388">
        <v>0</v>
      </c>
      <c r="W209" s="388">
        <v>0</v>
      </c>
      <c r="X209" s="388">
        <v>0</v>
      </c>
      <c r="Y209" s="388">
        <v>0</v>
      </c>
      <c r="Z209" s="388">
        <v>0</v>
      </c>
      <c r="AA209" s="388">
        <v>0</v>
      </c>
      <c r="AB209" s="388">
        <v>0</v>
      </c>
      <c r="AC209" s="388">
        <v>0</v>
      </c>
      <c r="AD209" s="388">
        <v>0</v>
      </c>
      <c r="AE209" s="388">
        <v>0</v>
      </c>
      <c r="AF209" s="388">
        <v>0</v>
      </c>
      <c r="AG209" s="388">
        <v>0</v>
      </c>
      <c r="AH209" s="388">
        <v>0</v>
      </c>
      <c r="AI209" s="388">
        <v>0</v>
      </c>
      <c r="AJ209" s="388">
        <v>0</v>
      </c>
      <c r="AK209" s="388">
        <v>0</v>
      </c>
      <c r="AL209" s="388">
        <v>0</v>
      </c>
      <c r="AM209" s="388">
        <v>0</v>
      </c>
      <c r="AN209" s="961">
        <v>0</v>
      </c>
      <c r="AO209" s="961">
        <v>0</v>
      </c>
      <c r="AP209" s="961">
        <v>0</v>
      </c>
      <c r="AQ209" s="961">
        <v>0</v>
      </c>
      <c r="AR209" s="961">
        <v>0</v>
      </c>
      <c r="AS209" s="961">
        <v>0</v>
      </c>
      <c r="AT209" s="961">
        <v>0</v>
      </c>
      <c r="AU209" s="961">
        <v>0</v>
      </c>
      <c r="AV209" s="961">
        <v>0</v>
      </c>
      <c r="AW209" s="961">
        <v>0</v>
      </c>
      <c r="AX209" s="796"/>
      <c r="AY209" s="796"/>
      <c r="AZ209" s="796"/>
      <c r="BA209" s="927"/>
    </row>
    <row r="210" spans="1:53" ht="11.4">
      <c r="A210" s="809">
        <v>2</v>
      </c>
      <c r="B210" s="927" t="s">
        <v>412</v>
      </c>
      <c r="C210" s="927"/>
      <c r="D210" s="927" t="s">
        <v>1583</v>
      </c>
      <c r="E210" s="927"/>
      <c r="F210" s="927"/>
      <c r="G210" s="927"/>
      <c r="H210" s="927"/>
      <c r="I210" s="927"/>
      <c r="J210" s="927"/>
      <c r="K210" s="927"/>
      <c r="L210" s="953" t="s">
        <v>612</v>
      </c>
      <c r="M210" s="960" t="s">
        <v>613</v>
      </c>
      <c r="N210" s="955" t="s">
        <v>352</v>
      </c>
      <c r="O210" s="388">
        <v>0</v>
      </c>
      <c r="P210" s="388">
        <v>0</v>
      </c>
      <c r="Q210" s="388">
        <v>0</v>
      </c>
      <c r="R210" s="961">
        <v>0</v>
      </c>
      <c r="S210" s="388">
        <v>0</v>
      </c>
      <c r="T210" s="388">
        <v>0</v>
      </c>
      <c r="U210" s="388">
        <v>0</v>
      </c>
      <c r="V210" s="388">
        <v>0</v>
      </c>
      <c r="W210" s="388">
        <v>0</v>
      </c>
      <c r="X210" s="388">
        <v>0</v>
      </c>
      <c r="Y210" s="388">
        <v>0</v>
      </c>
      <c r="Z210" s="388">
        <v>0</v>
      </c>
      <c r="AA210" s="388">
        <v>0</v>
      </c>
      <c r="AB210" s="388">
        <v>0</v>
      </c>
      <c r="AC210" s="388">
        <v>0</v>
      </c>
      <c r="AD210" s="388">
        <v>0</v>
      </c>
      <c r="AE210" s="388">
        <v>0</v>
      </c>
      <c r="AF210" s="388">
        <v>0</v>
      </c>
      <c r="AG210" s="388">
        <v>0</v>
      </c>
      <c r="AH210" s="388">
        <v>0</v>
      </c>
      <c r="AI210" s="388">
        <v>0</v>
      </c>
      <c r="AJ210" s="388">
        <v>0</v>
      </c>
      <c r="AK210" s="388">
        <v>0</v>
      </c>
      <c r="AL210" s="388">
        <v>0</v>
      </c>
      <c r="AM210" s="388">
        <v>0</v>
      </c>
      <c r="AN210" s="961">
        <v>0</v>
      </c>
      <c r="AO210" s="961">
        <v>0</v>
      </c>
      <c r="AP210" s="961">
        <v>0</v>
      </c>
      <c r="AQ210" s="961">
        <v>0</v>
      </c>
      <c r="AR210" s="961">
        <v>0</v>
      </c>
      <c r="AS210" s="961">
        <v>0</v>
      </c>
      <c r="AT210" s="961">
        <v>0</v>
      </c>
      <c r="AU210" s="961">
        <v>0</v>
      </c>
      <c r="AV210" s="961">
        <v>0</v>
      </c>
      <c r="AW210" s="961">
        <v>0</v>
      </c>
      <c r="AX210" s="796"/>
      <c r="AY210" s="796"/>
      <c r="AZ210" s="796"/>
      <c r="BA210" s="927"/>
    </row>
    <row r="211" spans="1:53" ht="11.4">
      <c r="A211" s="809">
        <v>2</v>
      </c>
      <c r="B211" s="927" t="s">
        <v>1337</v>
      </c>
      <c r="C211" s="927"/>
      <c r="D211" s="927" t="s">
        <v>1584</v>
      </c>
      <c r="E211" s="927"/>
      <c r="F211" s="927"/>
      <c r="G211" s="927"/>
      <c r="H211" s="927"/>
      <c r="I211" s="927"/>
      <c r="J211" s="927"/>
      <c r="K211" s="927"/>
      <c r="L211" s="953" t="s">
        <v>614</v>
      </c>
      <c r="M211" s="960" t="s">
        <v>615</v>
      </c>
      <c r="N211" s="955" t="s">
        <v>352</v>
      </c>
      <c r="O211" s="811">
        <v>0</v>
      </c>
      <c r="P211" s="811">
        <v>0</v>
      </c>
      <c r="Q211" s="811">
        <v>0</v>
      </c>
      <c r="R211" s="961">
        <v>0</v>
      </c>
      <c r="S211" s="811">
        <v>0</v>
      </c>
      <c r="T211" s="811">
        <v>0</v>
      </c>
      <c r="U211" s="811">
        <v>0</v>
      </c>
      <c r="V211" s="811">
        <v>0</v>
      </c>
      <c r="W211" s="811">
        <v>0</v>
      </c>
      <c r="X211" s="811">
        <v>0</v>
      </c>
      <c r="Y211" s="811">
        <v>0</v>
      </c>
      <c r="Z211" s="811">
        <v>0</v>
      </c>
      <c r="AA211" s="811">
        <v>0</v>
      </c>
      <c r="AB211" s="811">
        <v>0</v>
      </c>
      <c r="AC211" s="811">
        <v>0</v>
      </c>
      <c r="AD211" s="811">
        <v>0</v>
      </c>
      <c r="AE211" s="811">
        <v>0</v>
      </c>
      <c r="AF211" s="811">
        <v>0</v>
      </c>
      <c r="AG211" s="811">
        <v>0</v>
      </c>
      <c r="AH211" s="811">
        <v>0</v>
      </c>
      <c r="AI211" s="811">
        <v>0</v>
      </c>
      <c r="AJ211" s="811">
        <v>0</v>
      </c>
      <c r="AK211" s="811">
        <v>0</v>
      </c>
      <c r="AL211" s="811">
        <v>0</v>
      </c>
      <c r="AM211" s="811">
        <v>0</v>
      </c>
      <c r="AN211" s="961">
        <v>0</v>
      </c>
      <c r="AO211" s="961">
        <v>0</v>
      </c>
      <c r="AP211" s="961">
        <v>0</v>
      </c>
      <c r="AQ211" s="961">
        <v>0</v>
      </c>
      <c r="AR211" s="961">
        <v>0</v>
      </c>
      <c r="AS211" s="961">
        <v>0</v>
      </c>
      <c r="AT211" s="961">
        <v>0</v>
      </c>
      <c r="AU211" s="961">
        <v>0</v>
      </c>
      <c r="AV211" s="961">
        <v>0</v>
      </c>
      <c r="AW211" s="961">
        <v>0</v>
      </c>
      <c r="AX211" s="796"/>
      <c r="AY211" s="796"/>
      <c r="AZ211" s="796"/>
      <c r="BA211" s="927"/>
    </row>
    <row r="212" spans="1:53" ht="11.4">
      <c r="A212" s="809">
        <v>2</v>
      </c>
      <c r="B212" s="927" t="s">
        <v>1338</v>
      </c>
      <c r="C212" s="927"/>
      <c r="D212" s="927" t="s">
        <v>1585</v>
      </c>
      <c r="E212" s="927"/>
      <c r="F212" s="927"/>
      <c r="G212" s="927"/>
      <c r="H212" s="927"/>
      <c r="I212" s="927"/>
      <c r="J212" s="927"/>
      <c r="K212" s="927"/>
      <c r="L212" s="953" t="s">
        <v>616</v>
      </c>
      <c r="M212" s="960" t="s">
        <v>617</v>
      </c>
      <c r="N212" s="955" t="s">
        <v>352</v>
      </c>
      <c r="O212" s="388">
        <v>0</v>
      </c>
      <c r="P212" s="388">
        <v>0</v>
      </c>
      <c r="Q212" s="388">
        <v>0</v>
      </c>
      <c r="R212" s="961">
        <v>0</v>
      </c>
      <c r="S212" s="388">
        <v>0</v>
      </c>
      <c r="T212" s="388">
        <v>0</v>
      </c>
      <c r="U212" s="388">
        <v>0</v>
      </c>
      <c r="V212" s="388">
        <v>0</v>
      </c>
      <c r="W212" s="388">
        <v>0</v>
      </c>
      <c r="X212" s="388">
        <v>0</v>
      </c>
      <c r="Y212" s="388">
        <v>0</v>
      </c>
      <c r="Z212" s="388">
        <v>0</v>
      </c>
      <c r="AA212" s="388">
        <v>0</v>
      </c>
      <c r="AB212" s="388">
        <v>0</v>
      </c>
      <c r="AC212" s="388">
        <v>0</v>
      </c>
      <c r="AD212" s="388">
        <v>0</v>
      </c>
      <c r="AE212" s="388">
        <v>0</v>
      </c>
      <c r="AF212" s="388">
        <v>0</v>
      </c>
      <c r="AG212" s="388">
        <v>0</v>
      </c>
      <c r="AH212" s="388">
        <v>0</v>
      </c>
      <c r="AI212" s="388">
        <v>0</v>
      </c>
      <c r="AJ212" s="388">
        <v>0</v>
      </c>
      <c r="AK212" s="388">
        <v>0</v>
      </c>
      <c r="AL212" s="388">
        <v>0</v>
      </c>
      <c r="AM212" s="388">
        <v>0</v>
      </c>
      <c r="AN212" s="961">
        <v>0</v>
      </c>
      <c r="AO212" s="961">
        <v>0</v>
      </c>
      <c r="AP212" s="961">
        <v>0</v>
      </c>
      <c r="AQ212" s="961">
        <v>0</v>
      </c>
      <c r="AR212" s="961">
        <v>0</v>
      </c>
      <c r="AS212" s="961">
        <v>0</v>
      </c>
      <c r="AT212" s="961">
        <v>0</v>
      </c>
      <c r="AU212" s="961">
        <v>0</v>
      </c>
      <c r="AV212" s="961">
        <v>0</v>
      </c>
      <c r="AW212" s="961">
        <v>0</v>
      </c>
      <c r="AX212" s="796"/>
      <c r="AY212" s="796"/>
      <c r="AZ212" s="796"/>
      <c r="BA212" s="927"/>
    </row>
    <row r="213" spans="1:53" ht="11.4">
      <c r="A213" s="809">
        <v>2</v>
      </c>
      <c r="B213" s="927" t="s">
        <v>416</v>
      </c>
      <c r="C213" s="927"/>
      <c r="D213" s="927" t="s">
        <v>1586</v>
      </c>
      <c r="E213" s="927"/>
      <c r="F213" s="927"/>
      <c r="G213" s="927"/>
      <c r="H213" s="927"/>
      <c r="I213" s="927"/>
      <c r="J213" s="927"/>
      <c r="K213" s="927"/>
      <c r="L213" s="953" t="s">
        <v>618</v>
      </c>
      <c r="M213" s="960" t="s">
        <v>1133</v>
      </c>
      <c r="N213" s="955" t="s">
        <v>352</v>
      </c>
      <c r="O213" s="388">
        <v>0</v>
      </c>
      <c r="P213" s="388">
        <v>0</v>
      </c>
      <c r="Q213" s="388">
        <v>0</v>
      </c>
      <c r="R213" s="961">
        <v>0</v>
      </c>
      <c r="S213" s="388">
        <v>0</v>
      </c>
      <c r="T213" s="388">
        <v>0</v>
      </c>
      <c r="U213" s="388">
        <v>0</v>
      </c>
      <c r="V213" s="388">
        <v>0</v>
      </c>
      <c r="W213" s="388">
        <v>0</v>
      </c>
      <c r="X213" s="388">
        <v>0</v>
      </c>
      <c r="Y213" s="388">
        <v>0</v>
      </c>
      <c r="Z213" s="388">
        <v>0</v>
      </c>
      <c r="AA213" s="388">
        <v>0</v>
      </c>
      <c r="AB213" s="388">
        <v>0</v>
      </c>
      <c r="AC213" s="388">
        <v>0</v>
      </c>
      <c r="AD213" s="388">
        <v>0</v>
      </c>
      <c r="AE213" s="388">
        <v>0</v>
      </c>
      <c r="AF213" s="388">
        <v>0</v>
      </c>
      <c r="AG213" s="388">
        <v>0</v>
      </c>
      <c r="AH213" s="388">
        <v>0</v>
      </c>
      <c r="AI213" s="388">
        <v>0</v>
      </c>
      <c r="AJ213" s="388">
        <v>0</v>
      </c>
      <c r="AK213" s="388">
        <v>0</v>
      </c>
      <c r="AL213" s="388">
        <v>0</v>
      </c>
      <c r="AM213" s="388">
        <v>0</v>
      </c>
      <c r="AN213" s="961">
        <v>0</v>
      </c>
      <c r="AO213" s="961">
        <v>0</v>
      </c>
      <c r="AP213" s="961">
        <v>0</v>
      </c>
      <c r="AQ213" s="961">
        <v>0</v>
      </c>
      <c r="AR213" s="961">
        <v>0</v>
      </c>
      <c r="AS213" s="961">
        <v>0</v>
      </c>
      <c r="AT213" s="961">
        <v>0</v>
      </c>
      <c r="AU213" s="961">
        <v>0</v>
      </c>
      <c r="AV213" s="961">
        <v>0</v>
      </c>
      <c r="AW213" s="961">
        <v>0</v>
      </c>
      <c r="AX213" s="796"/>
      <c r="AY213" s="796"/>
      <c r="AZ213" s="796"/>
      <c r="BA213" s="927"/>
    </row>
    <row r="214" spans="1:53" ht="68.400000000000006">
      <c r="A214" s="809">
        <v>2</v>
      </c>
      <c r="B214" s="927" t="s">
        <v>1361</v>
      </c>
      <c r="C214" s="927"/>
      <c r="D214" s="927" t="s">
        <v>1587</v>
      </c>
      <c r="E214" s="927"/>
      <c r="F214" s="927"/>
      <c r="G214" s="927"/>
      <c r="H214" s="927"/>
      <c r="I214" s="927"/>
      <c r="J214" s="927"/>
      <c r="K214" s="927"/>
      <c r="L214" s="953" t="s">
        <v>153</v>
      </c>
      <c r="M214" s="954" t="s">
        <v>466</v>
      </c>
      <c r="N214" s="955" t="s">
        <v>352</v>
      </c>
      <c r="O214" s="973"/>
      <c r="P214" s="973"/>
      <c r="Q214" s="973"/>
      <c r="R214" s="961">
        <v>0</v>
      </c>
      <c r="S214" s="973"/>
      <c r="T214" s="973"/>
      <c r="U214" s="973"/>
      <c r="V214" s="973"/>
      <c r="W214" s="973"/>
      <c r="X214" s="973"/>
      <c r="Y214" s="973"/>
      <c r="Z214" s="973"/>
      <c r="AA214" s="973"/>
      <c r="AB214" s="973"/>
      <c r="AC214" s="973"/>
      <c r="AD214" s="973"/>
      <c r="AE214" s="973"/>
      <c r="AF214" s="973"/>
      <c r="AG214" s="973"/>
      <c r="AH214" s="973"/>
      <c r="AI214" s="973"/>
      <c r="AJ214" s="973"/>
      <c r="AK214" s="973"/>
      <c r="AL214" s="973"/>
      <c r="AM214" s="973"/>
      <c r="AN214" s="961">
        <v>0</v>
      </c>
      <c r="AO214" s="961">
        <v>0</v>
      </c>
      <c r="AP214" s="961">
        <v>0</v>
      </c>
      <c r="AQ214" s="961">
        <v>0</v>
      </c>
      <c r="AR214" s="961">
        <v>0</v>
      </c>
      <c r="AS214" s="961">
        <v>0</v>
      </c>
      <c r="AT214" s="961">
        <v>0</v>
      </c>
      <c r="AU214" s="961">
        <v>0</v>
      </c>
      <c r="AV214" s="961">
        <v>0</v>
      </c>
      <c r="AW214" s="961">
        <v>0</v>
      </c>
      <c r="AX214" s="796"/>
      <c r="AY214" s="796"/>
      <c r="AZ214" s="796"/>
      <c r="BA214" s="927"/>
    </row>
    <row r="215" spans="1:53" ht="11.4">
      <c r="A215" s="809">
        <v>2</v>
      </c>
      <c r="B215" s="927" t="s">
        <v>619</v>
      </c>
      <c r="C215" s="927"/>
      <c r="D215" s="927" t="s">
        <v>1588</v>
      </c>
      <c r="E215" s="927"/>
      <c r="F215" s="927"/>
      <c r="G215" s="927"/>
      <c r="H215" s="927"/>
      <c r="I215" s="927"/>
      <c r="J215" s="927"/>
      <c r="K215" s="927"/>
      <c r="L215" s="953" t="s">
        <v>367</v>
      </c>
      <c r="M215" s="954" t="s">
        <v>619</v>
      </c>
      <c r="N215" s="955" t="s">
        <v>352</v>
      </c>
      <c r="O215" s="388">
        <v>110.2</v>
      </c>
      <c r="P215" s="388">
        <v>110.2</v>
      </c>
      <c r="Q215" s="388">
        <v>0</v>
      </c>
      <c r="R215" s="961">
        <v>-110.2</v>
      </c>
      <c r="S215" s="388">
        <v>110.2</v>
      </c>
      <c r="T215" s="388">
        <v>110.2</v>
      </c>
      <c r="U215" s="388">
        <v>0</v>
      </c>
      <c r="V215" s="388">
        <v>0</v>
      </c>
      <c r="W215" s="388">
        <v>0</v>
      </c>
      <c r="X215" s="388">
        <v>0</v>
      </c>
      <c r="Y215" s="388">
        <v>0</v>
      </c>
      <c r="Z215" s="388">
        <v>0</v>
      </c>
      <c r="AA215" s="388">
        <v>0</v>
      </c>
      <c r="AB215" s="388">
        <v>0</v>
      </c>
      <c r="AC215" s="388">
        <v>0</v>
      </c>
      <c r="AD215" s="388">
        <v>0</v>
      </c>
      <c r="AE215" s="388">
        <v>0</v>
      </c>
      <c r="AF215" s="388">
        <v>0</v>
      </c>
      <c r="AG215" s="388">
        <v>0</v>
      </c>
      <c r="AH215" s="388">
        <v>0</v>
      </c>
      <c r="AI215" s="388">
        <v>0</v>
      </c>
      <c r="AJ215" s="388">
        <v>0</v>
      </c>
      <c r="AK215" s="388">
        <v>0</v>
      </c>
      <c r="AL215" s="388">
        <v>0</v>
      </c>
      <c r="AM215" s="388">
        <v>0</v>
      </c>
      <c r="AN215" s="961">
        <v>-100</v>
      </c>
      <c r="AO215" s="961">
        <v>0</v>
      </c>
      <c r="AP215" s="961">
        <v>0</v>
      </c>
      <c r="AQ215" s="961">
        <v>0</v>
      </c>
      <c r="AR215" s="961">
        <v>0</v>
      </c>
      <c r="AS215" s="961">
        <v>0</v>
      </c>
      <c r="AT215" s="961">
        <v>0</v>
      </c>
      <c r="AU215" s="961">
        <v>0</v>
      </c>
      <c r="AV215" s="961">
        <v>0</v>
      </c>
      <c r="AW215" s="961">
        <v>0</v>
      </c>
      <c r="AX215" s="796"/>
      <c r="AY215" s="796"/>
      <c r="AZ215" s="796"/>
      <c r="BA215" s="927"/>
    </row>
    <row r="216" spans="1:53" ht="11.4">
      <c r="A216" s="809">
        <v>2</v>
      </c>
      <c r="B216" s="927"/>
      <c r="C216" s="927"/>
      <c r="D216" s="927" t="s">
        <v>1589</v>
      </c>
      <c r="E216" s="927"/>
      <c r="F216" s="927"/>
      <c r="G216" s="927"/>
      <c r="H216" s="927"/>
      <c r="I216" s="927"/>
      <c r="J216" s="927"/>
      <c r="K216" s="927"/>
      <c r="L216" s="953" t="s">
        <v>492</v>
      </c>
      <c r="M216" s="954" t="s">
        <v>620</v>
      </c>
      <c r="N216" s="955" t="s">
        <v>352</v>
      </c>
      <c r="O216" s="811"/>
      <c r="P216" s="811"/>
      <c r="Q216" s="811"/>
      <c r="R216" s="961">
        <v>0</v>
      </c>
      <c r="S216" s="811"/>
      <c r="T216" s="811"/>
      <c r="U216" s="811"/>
      <c r="V216" s="811"/>
      <c r="W216" s="811"/>
      <c r="X216" s="811"/>
      <c r="Y216" s="811"/>
      <c r="Z216" s="811"/>
      <c r="AA216" s="811"/>
      <c r="AB216" s="811"/>
      <c r="AC216" s="811"/>
      <c r="AD216" s="811"/>
      <c r="AE216" s="811"/>
      <c r="AF216" s="811"/>
      <c r="AG216" s="811"/>
      <c r="AH216" s="811"/>
      <c r="AI216" s="811"/>
      <c r="AJ216" s="811"/>
      <c r="AK216" s="811"/>
      <c r="AL216" s="811"/>
      <c r="AM216" s="811"/>
      <c r="AN216" s="961">
        <v>0</v>
      </c>
      <c r="AO216" s="961">
        <v>0</v>
      </c>
      <c r="AP216" s="961">
        <v>0</v>
      </c>
      <c r="AQ216" s="961">
        <v>0</v>
      </c>
      <c r="AR216" s="961">
        <v>0</v>
      </c>
      <c r="AS216" s="961">
        <v>0</v>
      </c>
      <c r="AT216" s="961">
        <v>0</v>
      </c>
      <c r="AU216" s="961">
        <v>0</v>
      </c>
      <c r="AV216" s="961">
        <v>0</v>
      </c>
      <c r="AW216" s="961">
        <v>0</v>
      </c>
      <c r="AX216" s="796"/>
      <c r="AY216" s="796"/>
      <c r="AZ216" s="796"/>
      <c r="BA216" s="927"/>
    </row>
    <row r="217" spans="1:53" ht="11.4">
      <c r="A217" s="809">
        <v>2</v>
      </c>
      <c r="B217" s="927" t="s">
        <v>622</v>
      </c>
      <c r="C217" s="927"/>
      <c r="D217" s="927" t="s">
        <v>1590</v>
      </c>
      <c r="E217" s="927"/>
      <c r="F217" s="927"/>
      <c r="G217" s="927"/>
      <c r="H217" s="927"/>
      <c r="I217" s="927"/>
      <c r="J217" s="927"/>
      <c r="K217" s="927"/>
      <c r="L217" s="953" t="s">
        <v>621</v>
      </c>
      <c r="M217" s="960" t="s">
        <v>622</v>
      </c>
      <c r="N217" s="955" t="s">
        <v>352</v>
      </c>
      <c r="O217" s="811"/>
      <c r="P217" s="811"/>
      <c r="Q217" s="811"/>
      <c r="R217" s="961">
        <v>0</v>
      </c>
      <c r="S217" s="811"/>
      <c r="T217" s="811"/>
      <c r="U217" s="811"/>
      <c r="V217" s="811"/>
      <c r="W217" s="811"/>
      <c r="X217" s="811"/>
      <c r="Y217" s="811"/>
      <c r="Z217" s="811"/>
      <c r="AA217" s="811"/>
      <c r="AB217" s="811"/>
      <c r="AC217" s="811"/>
      <c r="AD217" s="811"/>
      <c r="AE217" s="811"/>
      <c r="AF217" s="811"/>
      <c r="AG217" s="811"/>
      <c r="AH217" s="811"/>
      <c r="AI217" s="811"/>
      <c r="AJ217" s="811"/>
      <c r="AK217" s="811"/>
      <c r="AL217" s="811"/>
      <c r="AM217" s="811"/>
      <c r="AN217" s="961">
        <v>0</v>
      </c>
      <c r="AO217" s="961">
        <v>0</v>
      </c>
      <c r="AP217" s="961">
        <v>0</v>
      </c>
      <c r="AQ217" s="961">
        <v>0</v>
      </c>
      <c r="AR217" s="961">
        <v>0</v>
      </c>
      <c r="AS217" s="961">
        <v>0</v>
      </c>
      <c r="AT217" s="961">
        <v>0</v>
      </c>
      <c r="AU217" s="961">
        <v>0</v>
      </c>
      <c r="AV217" s="961">
        <v>0</v>
      </c>
      <c r="AW217" s="961">
        <v>0</v>
      </c>
      <c r="AX217" s="796"/>
      <c r="AY217" s="796"/>
      <c r="AZ217" s="796"/>
      <c r="BA217" s="927"/>
    </row>
    <row r="218" spans="1:53" ht="11.4">
      <c r="A218" s="809">
        <v>2</v>
      </c>
      <c r="B218" s="927" t="s">
        <v>623</v>
      </c>
      <c r="C218" s="927"/>
      <c r="D218" s="927" t="s">
        <v>1591</v>
      </c>
      <c r="E218" s="927"/>
      <c r="F218" s="927"/>
      <c r="G218" s="927"/>
      <c r="H218" s="927"/>
      <c r="I218" s="927"/>
      <c r="J218" s="927"/>
      <c r="K218" s="927"/>
      <c r="L218" s="953" t="s">
        <v>494</v>
      </c>
      <c r="M218" s="954" t="s">
        <v>623</v>
      </c>
      <c r="N218" s="955" t="s">
        <v>352</v>
      </c>
      <c r="O218" s="811"/>
      <c r="P218" s="811"/>
      <c r="Q218" s="811"/>
      <c r="R218" s="961">
        <v>0</v>
      </c>
      <c r="S218" s="811"/>
      <c r="T218" s="811">
        <v>0</v>
      </c>
      <c r="U218" s="811">
        <v>0</v>
      </c>
      <c r="V218" s="811">
        <v>0</v>
      </c>
      <c r="W218" s="811">
        <v>0</v>
      </c>
      <c r="X218" s="811">
        <v>0</v>
      </c>
      <c r="Y218" s="811">
        <v>0</v>
      </c>
      <c r="Z218" s="811">
        <v>0</v>
      </c>
      <c r="AA218" s="811">
        <v>0</v>
      </c>
      <c r="AB218" s="811">
        <v>0</v>
      </c>
      <c r="AC218" s="811">
        <v>0</v>
      </c>
      <c r="AD218" s="811">
        <v>0</v>
      </c>
      <c r="AE218" s="811">
        <v>0</v>
      </c>
      <c r="AF218" s="811">
        <v>0</v>
      </c>
      <c r="AG218" s="811">
        <v>0</v>
      </c>
      <c r="AH218" s="811">
        <v>0</v>
      </c>
      <c r="AI218" s="811">
        <v>0</v>
      </c>
      <c r="AJ218" s="811">
        <v>0</v>
      </c>
      <c r="AK218" s="811">
        <v>0</v>
      </c>
      <c r="AL218" s="811">
        <v>0</v>
      </c>
      <c r="AM218" s="811">
        <v>0</v>
      </c>
      <c r="AN218" s="961">
        <v>0</v>
      </c>
      <c r="AO218" s="961">
        <v>0</v>
      </c>
      <c r="AP218" s="961">
        <v>0</v>
      </c>
      <c r="AQ218" s="961">
        <v>0</v>
      </c>
      <c r="AR218" s="961">
        <v>0</v>
      </c>
      <c r="AS218" s="961">
        <v>0</v>
      </c>
      <c r="AT218" s="961">
        <v>0</v>
      </c>
      <c r="AU218" s="961">
        <v>0</v>
      </c>
      <c r="AV218" s="961">
        <v>0</v>
      </c>
      <c r="AW218" s="961">
        <v>0</v>
      </c>
      <c r="AX218" s="796"/>
      <c r="AY218" s="796"/>
      <c r="AZ218" s="796"/>
      <c r="BA218" s="927"/>
    </row>
    <row r="219" spans="1:53" ht="11.4">
      <c r="A219" s="809">
        <v>2</v>
      </c>
      <c r="B219" s="927" t="s">
        <v>624</v>
      </c>
      <c r="C219" s="927"/>
      <c r="D219" s="927" t="s">
        <v>1592</v>
      </c>
      <c r="E219" s="927"/>
      <c r="F219" s="927"/>
      <c r="G219" s="927"/>
      <c r="H219" s="927"/>
      <c r="I219" s="927"/>
      <c r="J219" s="927"/>
      <c r="K219" s="927"/>
      <c r="L219" s="953" t="s">
        <v>497</v>
      </c>
      <c r="M219" s="954" t="s">
        <v>624</v>
      </c>
      <c r="N219" s="955" t="s">
        <v>352</v>
      </c>
      <c r="O219" s="811"/>
      <c r="P219" s="811"/>
      <c r="Q219" s="811"/>
      <c r="R219" s="961">
        <v>0</v>
      </c>
      <c r="S219" s="811"/>
      <c r="T219" s="811"/>
      <c r="U219" s="811"/>
      <c r="V219" s="811"/>
      <c r="W219" s="811"/>
      <c r="X219" s="811"/>
      <c r="Y219" s="811"/>
      <c r="Z219" s="811"/>
      <c r="AA219" s="811"/>
      <c r="AB219" s="811"/>
      <c r="AC219" s="811"/>
      <c r="AD219" s="811"/>
      <c r="AE219" s="811"/>
      <c r="AF219" s="811"/>
      <c r="AG219" s="811"/>
      <c r="AH219" s="811"/>
      <c r="AI219" s="811"/>
      <c r="AJ219" s="811"/>
      <c r="AK219" s="811"/>
      <c r="AL219" s="811"/>
      <c r="AM219" s="811"/>
      <c r="AN219" s="961">
        <v>0</v>
      </c>
      <c r="AO219" s="961">
        <v>0</v>
      </c>
      <c r="AP219" s="961">
        <v>0</v>
      </c>
      <c r="AQ219" s="961">
        <v>0</v>
      </c>
      <c r="AR219" s="961">
        <v>0</v>
      </c>
      <c r="AS219" s="961">
        <v>0</v>
      </c>
      <c r="AT219" s="961">
        <v>0</v>
      </c>
      <c r="AU219" s="961">
        <v>0</v>
      </c>
      <c r="AV219" s="961">
        <v>0</v>
      </c>
      <c r="AW219" s="961">
        <v>0</v>
      </c>
      <c r="AX219" s="796"/>
      <c r="AY219" s="796"/>
      <c r="AZ219" s="796"/>
      <c r="BA219" s="927"/>
    </row>
    <row r="220" spans="1:53" ht="11.4">
      <c r="A220" s="809">
        <v>2</v>
      </c>
      <c r="B220" s="927" t="s">
        <v>625</v>
      </c>
      <c r="C220" s="927"/>
      <c r="D220" s="927" t="s">
        <v>1593</v>
      </c>
      <c r="E220" s="927"/>
      <c r="F220" s="927"/>
      <c r="G220" s="927"/>
      <c r="H220" s="927"/>
      <c r="I220" s="927"/>
      <c r="J220" s="927"/>
      <c r="K220" s="927"/>
      <c r="L220" s="953" t="s">
        <v>500</v>
      </c>
      <c r="M220" s="954" t="s">
        <v>625</v>
      </c>
      <c r="N220" s="955" t="s">
        <v>352</v>
      </c>
      <c r="O220" s="811"/>
      <c r="P220" s="811"/>
      <c r="Q220" s="811"/>
      <c r="R220" s="961">
        <v>0</v>
      </c>
      <c r="S220" s="811"/>
      <c r="T220" s="811"/>
      <c r="U220" s="811"/>
      <c r="V220" s="811"/>
      <c r="W220" s="811"/>
      <c r="X220" s="811"/>
      <c r="Y220" s="811"/>
      <c r="Z220" s="811"/>
      <c r="AA220" s="811"/>
      <c r="AB220" s="811"/>
      <c r="AC220" s="811"/>
      <c r="AD220" s="811"/>
      <c r="AE220" s="811"/>
      <c r="AF220" s="811"/>
      <c r="AG220" s="811"/>
      <c r="AH220" s="811"/>
      <c r="AI220" s="811"/>
      <c r="AJ220" s="811"/>
      <c r="AK220" s="811"/>
      <c r="AL220" s="811"/>
      <c r="AM220" s="811"/>
      <c r="AN220" s="961">
        <v>0</v>
      </c>
      <c r="AO220" s="961">
        <v>0</v>
      </c>
      <c r="AP220" s="961">
        <v>0</v>
      </c>
      <c r="AQ220" s="961">
        <v>0</v>
      </c>
      <c r="AR220" s="961">
        <v>0</v>
      </c>
      <c r="AS220" s="961">
        <v>0</v>
      </c>
      <c r="AT220" s="961">
        <v>0</v>
      </c>
      <c r="AU220" s="961">
        <v>0</v>
      </c>
      <c r="AV220" s="961">
        <v>0</v>
      </c>
      <c r="AW220" s="961">
        <v>0</v>
      </c>
      <c r="AX220" s="796"/>
      <c r="AY220" s="796"/>
      <c r="AZ220" s="796"/>
      <c r="BA220" s="927"/>
    </row>
    <row r="221" spans="1:53" ht="11.4">
      <c r="A221" s="809">
        <v>2</v>
      </c>
      <c r="B221" s="927" t="s">
        <v>627</v>
      </c>
      <c r="C221" s="927"/>
      <c r="D221" s="927" t="s">
        <v>1594</v>
      </c>
      <c r="E221" s="927"/>
      <c r="F221" s="927"/>
      <c r="G221" s="927"/>
      <c r="H221" s="927"/>
      <c r="I221" s="927"/>
      <c r="J221" s="927"/>
      <c r="K221" s="927"/>
      <c r="L221" s="953" t="s">
        <v>626</v>
      </c>
      <c r="M221" s="954" t="s">
        <v>627</v>
      </c>
      <c r="N221" s="955" t="s">
        <v>352</v>
      </c>
      <c r="O221" s="961">
        <v>0</v>
      </c>
      <c r="P221" s="961">
        <v>0</v>
      </c>
      <c r="Q221" s="961">
        <v>0</v>
      </c>
      <c r="R221" s="961">
        <v>0</v>
      </c>
      <c r="S221" s="961">
        <v>0</v>
      </c>
      <c r="T221" s="961">
        <v>0</v>
      </c>
      <c r="U221" s="961">
        <v>0</v>
      </c>
      <c r="V221" s="961">
        <v>0</v>
      </c>
      <c r="W221" s="961">
        <v>0</v>
      </c>
      <c r="X221" s="961">
        <v>0</v>
      </c>
      <c r="Y221" s="961">
        <v>0</v>
      </c>
      <c r="Z221" s="961">
        <v>0</v>
      </c>
      <c r="AA221" s="961">
        <v>0</v>
      </c>
      <c r="AB221" s="961">
        <v>0</v>
      </c>
      <c r="AC221" s="961">
        <v>0</v>
      </c>
      <c r="AD221" s="961">
        <v>0</v>
      </c>
      <c r="AE221" s="961">
        <v>0</v>
      </c>
      <c r="AF221" s="961">
        <v>0</v>
      </c>
      <c r="AG221" s="961">
        <v>0</v>
      </c>
      <c r="AH221" s="961">
        <v>0</v>
      </c>
      <c r="AI221" s="961">
        <v>0</v>
      </c>
      <c r="AJ221" s="961">
        <v>0</v>
      </c>
      <c r="AK221" s="961">
        <v>0</v>
      </c>
      <c r="AL221" s="961">
        <v>0</v>
      </c>
      <c r="AM221" s="961">
        <v>0</v>
      </c>
      <c r="AN221" s="961">
        <v>0</v>
      </c>
      <c r="AO221" s="961">
        <v>0</v>
      </c>
      <c r="AP221" s="961">
        <v>0</v>
      </c>
      <c r="AQ221" s="961">
        <v>0</v>
      </c>
      <c r="AR221" s="961">
        <v>0</v>
      </c>
      <c r="AS221" s="961">
        <v>0</v>
      </c>
      <c r="AT221" s="961">
        <v>0</v>
      </c>
      <c r="AU221" s="961">
        <v>0</v>
      </c>
      <c r="AV221" s="961">
        <v>0</v>
      </c>
      <c r="AW221" s="961">
        <v>0</v>
      </c>
      <c r="AX221" s="796"/>
      <c r="AY221" s="796"/>
      <c r="AZ221" s="796"/>
      <c r="BA221" s="927"/>
    </row>
    <row r="222" spans="1:53" ht="11.4">
      <c r="A222" s="809">
        <v>2</v>
      </c>
      <c r="B222" s="927"/>
      <c r="C222" s="927"/>
      <c r="D222" s="927" t="s">
        <v>1595</v>
      </c>
      <c r="E222" s="927"/>
      <c r="F222" s="927"/>
      <c r="G222" s="927"/>
      <c r="H222" s="927"/>
      <c r="I222" s="927"/>
      <c r="J222" s="927"/>
      <c r="K222" s="927"/>
      <c r="L222" s="953" t="s">
        <v>628</v>
      </c>
      <c r="M222" s="960" t="s">
        <v>629</v>
      </c>
      <c r="N222" s="955" t="s">
        <v>352</v>
      </c>
      <c r="O222" s="811"/>
      <c r="P222" s="811"/>
      <c r="Q222" s="811"/>
      <c r="R222" s="961">
        <v>0</v>
      </c>
      <c r="S222" s="811"/>
      <c r="T222" s="811"/>
      <c r="U222" s="811"/>
      <c r="V222" s="811"/>
      <c r="W222" s="811"/>
      <c r="X222" s="811"/>
      <c r="Y222" s="811"/>
      <c r="Z222" s="811"/>
      <c r="AA222" s="811"/>
      <c r="AB222" s="811"/>
      <c r="AC222" s="811"/>
      <c r="AD222" s="811"/>
      <c r="AE222" s="811"/>
      <c r="AF222" s="811"/>
      <c r="AG222" s="811"/>
      <c r="AH222" s="811"/>
      <c r="AI222" s="811"/>
      <c r="AJ222" s="811"/>
      <c r="AK222" s="811"/>
      <c r="AL222" s="811"/>
      <c r="AM222" s="811"/>
      <c r="AN222" s="961">
        <v>0</v>
      </c>
      <c r="AO222" s="961">
        <v>0</v>
      </c>
      <c r="AP222" s="961">
        <v>0</v>
      </c>
      <c r="AQ222" s="961">
        <v>0</v>
      </c>
      <c r="AR222" s="961">
        <v>0</v>
      </c>
      <c r="AS222" s="961">
        <v>0</v>
      </c>
      <c r="AT222" s="961">
        <v>0</v>
      </c>
      <c r="AU222" s="961">
        <v>0</v>
      </c>
      <c r="AV222" s="961">
        <v>0</v>
      </c>
      <c r="AW222" s="961">
        <v>0</v>
      </c>
      <c r="AX222" s="796"/>
      <c r="AY222" s="796"/>
      <c r="AZ222" s="796"/>
      <c r="BA222" s="927"/>
    </row>
    <row r="223" spans="1:53" ht="11.4">
      <c r="A223" s="809">
        <v>2</v>
      </c>
      <c r="B223" s="927"/>
      <c r="C223" s="927"/>
      <c r="D223" s="927" t="s">
        <v>1596</v>
      </c>
      <c r="E223" s="927"/>
      <c r="F223" s="927"/>
      <c r="G223" s="927"/>
      <c r="H223" s="927"/>
      <c r="I223" s="927"/>
      <c r="J223" s="927"/>
      <c r="K223" s="927"/>
      <c r="L223" s="953" t="s">
        <v>630</v>
      </c>
      <c r="M223" s="960" t="s">
        <v>631</v>
      </c>
      <c r="N223" s="955" t="s">
        <v>352</v>
      </c>
      <c r="O223" s="811"/>
      <c r="P223" s="811"/>
      <c r="Q223" s="811"/>
      <c r="R223" s="961">
        <v>0</v>
      </c>
      <c r="S223" s="811"/>
      <c r="T223" s="811"/>
      <c r="U223" s="811"/>
      <c r="V223" s="811"/>
      <c r="W223" s="811"/>
      <c r="X223" s="811"/>
      <c r="Y223" s="811"/>
      <c r="Z223" s="811"/>
      <c r="AA223" s="811"/>
      <c r="AB223" s="811"/>
      <c r="AC223" s="811"/>
      <c r="AD223" s="811"/>
      <c r="AE223" s="811"/>
      <c r="AF223" s="811"/>
      <c r="AG223" s="811"/>
      <c r="AH223" s="811"/>
      <c r="AI223" s="811"/>
      <c r="AJ223" s="811"/>
      <c r="AK223" s="811"/>
      <c r="AL223" s="811"/>
      <c r="AM223" s="811"/>
      <c r="AN223" s="961">
        <v>0</v>
      </c>
      <c r="AO223" s="961">
        <v>0</v>
      </c>
      <c r="AP223" s="961">
        <v>0</v>
      </c>
      <c r="AQ223" s="961">
        <v>0</v>
      </c>
      <c r="AR223" s="961">
        <v>0</v>
      </c>
      <c r="AS223" s="961">
        <v>0</v>
      </c>
      <c r="AT223" s="961">
        <v>0</v>
      </c>
      <c r="AU223" s="961">
        <v>0</v>
      </c>
      <c r="AV223" s="961">
        <v>0</v>
      </c>
      <c r="AW223" s="961">
        <v>0</v>
      </c>
      <c r="AX223" s="796"/>
      <c r="AY223" s="796"/>
      <c r="AZ223" s="796"/>
      <c r="BA223" s="927"/>
    </row>
    <row r="224" spans="1:53" ht="34.200000000000003">
      <c r="A224" s="809">
        <v>2</v>
      </c>
      <c r="B224" s="927" t="s">
        <v>1362</v>
      </c>
      <c r="C224" s="927"/>
      <c r="D224" s="927" t="s">
        <v>1597</v>
      </c>
      <c r="E224" s="927"/>
      <c r="F224" s="927"/>
      <c r="G224" s="927"/>
      <c r="H224" s="927"/>
      <c r="I224" s="927"/>
      <c r="J224" s="927"/>
      <c r="K224" s="927"/>
      <c r="L224" s="953" t="s">
        <v>632</v>
      </c>
      <c r="M224" s="954" t="s">
        <v>633</v>
      </c>
      <c r="N224" s="955" t="s">
        <v>352</v>
      </c>
      <c r="O224" s="811"/>
      <c r="P224" s="811"/>
      <c r="Q224" s="811"/>
      <c r="R224" s="961">
        <v>0</v>
      </c>
      <c r="S224" s="811"/>
      <c r="T224" s="811"/>
      <c r="U224" s="811"/>
      <c r="V224" s="811"/>
      <c r="W224" s="811"/>
      <c r="X224" s="811"/>
      <c r="Y224" s="811"/>
      <c r="Z224" s="811"/>
      <c r="AA224" s="811"/>
      <c r="AB224" s="811"/>
      <c r="AC224" s="811"/>
      <c r="AD224" s="811"/>
      <c r="AE224" s="811"/>
      <c r="AF224" s="811"/>
      <c r="AG224" s="811"/>
      <c r="AH224" s="811"/>
      <c r="AI224" s="811"/>
      <c r="AJ224" s="811"/>
      <c r="AK224" s="811"/>
      <c r="AL224" s="811"/>
      <c r="AM224" s="811"/>
      <c r="AN224" s="961">
        <v>0</v>
      </c>
      <c r="AO224" s="961">
        <v>0</v>
      </c>
      <c r="AP224" s="961">
        <v>0</v>
      </c>
      <c r="AQ224" s="961">
        <v>0</v>
      </c>
      <c r="AR224" s="961">
        <v>0</v>
      </c>
      <c r="AS224" s="961">
        <v>0</v>
      </c>
      <c r="AT224" s="961">
        <v>0</v>
      </c>
      <c r="AU224" s="961">
        <v>0</v>
      </c>
      <c r="AV224" s="961">
        <v>0</v>
      </c>
      <c r="AW224" s="961">
        <v>0</v>
      </c>
      <c r="AX224" s="796"/>
      <c r="AY224" s="796"/>
      <c r="AZ224" s="796"/>
      <c r="BA224" s="927"/>
    </row>
    <row r="225" spans="1:53" s="109" customFormat="1" ht="11.4">
      <c r="A225" s="809">
        <v>2</v>
      </c>
      <c r="B225" s="927" t="s">
        <v>1078</v>
      </c>
      <c r="C225" s="927"/>
      <c r="D225" s="927" t="s">
        <v>1442</v>
      </c>
      <c r="E225" s="968"/>
      <c r="F225" s="968"/>
      <c r="G225" s="968"/>
      <c r="H225" s="968"/>
      <c r="I225" s="968"/>
      <c r="J225" s="968"/>
      <c r="K225" s="968"/>
      <c r="L225" s="969" t="s">
        <v>103</v>
      </c>
      <c r="M225" s="947" t="s">
        <v>634</v>
      </c>
      <c r="N225" s="971" t="s">
        <v>352</v>
      </c>
      <c r="O225" s="466">
        <v>0</v>
      </c>
      <c r="P225" s="466">
        <v>0</v>
      </c>
      <c r="Q225" s="466">
        <v>0</v>
      </c>
      <c r="R225" s="950">
        <v>0</v>
      </c>
      <c r="S225" s="466">
        <v>0</v>
      </c>
      <c r="T225" s="466">
        <v>0</v>
      </c>
      <c r="U225" s="466">
        <v>0</v>
      </c>
      <c r="V225" s="466">
        <v>0</v>
      </c>
      <c r="W225" s="466">
        <v>0</v>
      </c>
      <c r="X225" s="466">
        <v>0</v>
      </c>
      <c r="Y225" s="466">
        <v>0</v>
      </c>
      <c r="Z225" s="466">
        <v>0</v>
      </c>
      <c r="AA225" s="466">
        <v>0</v>
      </c>
      <c r="AB225" s="466">
        <v>0</v>
      </c>
      <c r="AC225" s="466">
        <v>0</v>
      </c>
      <c r="AD225" s="466">
        <v>0</v>
      </c>
      <c r="AE225" s="466">
        <v>0</v>
      </c>
      <c r="AF225" s="466">
        <v>0</v>
      </c>
      <c r="AG225" s="466">
        <v>0</v>
      </c>
      <c r="AH225" s="466">
        <v>0</v>
      </c>
      <c r="AI225" s="466">
        <v>0</v>
      </c>
      <c r="AJ225" s="466">
        <v>0</v>
      </c>
      <c r="AK225" s="466">
        <v>0</v>
      </c>
      <c r="AL225" s="466">
        <v>0</v>
      </c>
      <c r="AM225" s="466">
        <v>0</v>
      </c>
      <c r="AN225" s="950">
        <v>0</v>
      </c>
      <c r="AO225" s="950">
        <v>0</v>
      </c>
      <c r="AP225" s="950">
        <v>0</v>
      </c>
      <c r="AQ225" s="950">
        <v>0</v>
      </c>
      <c r="AR225" s="950">
        <v>0</v>
      </c>
      <c r="AS225" s="950">
        <v>0</v>
      </c>
      <c r="AT225" s="950">
        <v>0</v>
      </c>
      <c r="AU225" s="950">
        <v>0</v>
      </c>
      <c r="AV225" s="950">
        <v>0</v>
      </c>
      <c r="AW225" s="950">
        <v>0</v>
      </c>
      <c r="AX225" s="796"/>
      <c r="AY225" s="796"/>
      <c r="AZ225" s="796"/>
      <c r="BA225" s="968"/>
    </row>
    <row r="226" spans="1:53" s="109" customFormat="1" ht="34.200000000000003">
      <c r="A226" s="809">
        <v>2</v>
      </c>
      <c r="B226" s="927" t="s">
        <v>1079</v>
      </c>
      <c r="C226" s="927"/>
      <c r="D226" s="927" t="s">
        <v>1444</v>
      </c>
      <c r="E226" s="968"/>
      <c r="F226" s="968"/>
      <c r="G226" s="968"/>
      <c r="H226" s="968"/>
      <c r="I226" s="968"/>
      <c r="J226" s="968"/>
      <c r="K226" s="968"/>
      <c r="L226" s="969" t="s">
        <v>104</v>
      </c>
      <c r="M226" s="947" t="s">
        <v>635</v>
      </c>
      <c r="N226" s="971" t="s">
        <v>352</v>
      </c>
      <c r="O226" s="466">
        <v>0</v>
      </c>
      <c r="P226" s="466">
        <v>0</v>
      </c>
      <c r="Q226" s="466">
        <v>0</v>
      </c>
      <c r="R226" s="950">
        <v>0</v>
      </c>
      <c r="S226" s="466">
        <v>0</v>
      </c>
      <c r="T226" s="466">
        <v>0</v>
      </c>
      <c r="U226" s="466">
        <v>0</v>
      </c>
      <c r="V226" s="466">
        <v>0</v>
      </c>
      <c r="W226" s="466">
        <v>0</v>
      </c>
      <c r="X226" s="466">
        <v>0</v>
      </c>
      <c r="Y226" s="466">
        <v>0</v>
      </c>
      <c r="Z226" s="466">
        <v>0</v>
      </c>
      <c r="AA226" s="466">
        <v>0</v>
      </c>
      <c r="AB226" s="466">
        <v>0</v>
      </c>
      <c r="AC226" s="466">
        <v>0</v>
      </c>
      <c r="AD226" s="466">
        <v>0</v>
      </c>
      <c r="AE226" s="466">
        <v>0</v>
      </c>
      <c r="AF226" s="466">
        <v>0</v>
      </c>
      <c r="AG226" s="466">
        <v>0</v>
      </c>
      <c r="AH226" s="466">
        <v>0</v>
      </c>
      <c r="AI226" s="466">
        <v>0</v>
      </c>
      <c r="AJ226" s="466">
        <v>0</v>
      </c>
      <c r="AK226" s="466">
        <v>0</v>
      </c>
      <c r="AL226" s="466">
        <v>0</v>
      </c>
      <c r="AM226" s="466">
        <v>0</v>
      </c>
      <c r="AN226" s="950">
        <v>0</v>
      </c>
      <c r="AO226" s="950">
        <v>0</v>
      </c>
      <c r="AP226" s="950">
        <v>0</v>
      </c>
      <c r="AQ226" s="950">
        <v>0</v>
      </c>
      <c r="AR226" s="950">
        <v>0</v>
      </c>
      <c r="AS226" s="950">
        <v>0</v>
      </c>
      <c r="AT226" s="950">
        <v>0</v>
      </c>
      <c r="AU226" s="950">
        <v>0</v>
      </c>
      <c r="AV226" s="950">
        <v>0</v>
      </c>
      <c r="AW226" s="950">
        <v>0</v>
      </c>
      <c r="AX226" s="796"/>
      <c r="AY226" s="796"/>
      <c r="AZ226" s="796"/>
      <c r="BA226" s="968"/>
    </row>
    <row r="227" spans="1:53" ht="11.4">
      <c r="A227" s="809">
        <v>2</v>
      </c>
      <c r="B227" s="927"/>
      <c r="C227" s="927"/>
      <c r="D227" s="927" t="s">
        <v>1598</v>
      </c>
      <c r="E227" s="927"/>
      <c r="F227" s="927"/>
      <c r="G227" s="927"/>
      <c r="H227" s="927"/>
      <c r="I227" s="927"/>
      <c r="J227" s="927"/>
      <c r="K227" s="927"/>
      <c r="L227" s="953" t="s">
        <v>140</v>
      </c>
      <c r="M227" s="974" t="s">
        <v>1206</v>
      </c>
      <c r="N227" s="955" t="s">
        <v>352</v>
      </c>
      <c r="O227" s="811">
        <v>0</v>
      </c>
      <c r="P227" s="811">
        <v>0</v>
      </c>
      <c r="Q227" s="811">
        <v>0</v>
      </c>
      <c r="R227" s="961">
        <v>0</v>
      </c>
      <c r="S227" s="811">
        <v>0</v>
      </c>
      <c r="T227" s="811">
        <v>0</v>
      </c>
      <c r="U227" s="811">
        <v>0</v>
      </c>
      <c r="V227" s="811">
        <v>0</v>
      </c>
      <c r="W227" s="811">
        <v>0</v>
      </c>
      <c r="X227" s="811">
        <v>0</v>
      </c>
      <c r="Y227" s="811">
        <v>0</v>
      </c>
      <c r="Z227" s="811">
        <v>0</v>
      </c>
      <c r="AA227" s="811">
        <v>0</v>
      </c>
      <c r="AB227" s="811">
        <v>0</v>
      </c>
      <c r="AC227" s="811">
        <v>0</v>
      </c>
      <c r="AD227" s="811">
        <v>0</v>
      </c>
      <c r="AE227" s="811">
        <v>0</v>
      </c>
      <c r="AF227" s="811">
        <v>0</v>
      </c>
      <c r="AG227" s="811">
        <v>0</v>
      </c>
      <c r="AH227" s="811">
        <v>0</v>
      </c>
      <c r="AI227" s="811">
        <v>0</v>
      </c>
      <c r="AJ227" s="811">
        <v>0</v>
      </c>
      <c r="AK227" s="811">
        <v>0</v>
      </c>
      <c r="AL227" s="811">
        <v>0</v>
      </c>
      <c r="AM227" s="811">
        <v>0</v>
      </c>
      <c r="AN227" s="961">
        <v>0</v>
      </c>
      <c r="AO227" s="961">
        <v>0</v>
      </c>
      <c r="AP227" s="961">
        <v>0</v>
      </c>
      <c r="AQ227" s="961">
        <v>0</v>
      </c>
      <c r="AR227" s="961">
        <v>0</v>
      </c>
      <c r="AS227" s="961">
        <v>0</v>
      </c>
      <c r="AT227" s="961">
        <v>0</v>
      </c>
      <c r="AU227" s="961">
        <v>0</v>
      </c>
      <c r="AV227" s="961">
        <v>0</v>
      </c>
      <c r="AW227" s="961">
        <v>0</v>
      </c>
      <c r="AX227" s="796"/>
      <c r="AY227" s="796"/>
      <c r="AZ227" s="796"/>
      <c r="BA227" s="927"/>
    </row>
    <row r="228" spans="1:53" s="109" customFormat="1" ht="11.4">
      <c r="A228" s="809">
        <v>2</v>
      </c>
      <c r="B228" s="927" t="s">
        <v>636</v>
      </c>
      <c r="C228" s="927"/>
      <c r="D228" s="927" t="s">
        <v>1446</v>
      </c>
      <c r="E228" s="968"/>
      <c r="F228" s="968"/>
      <c r="G228" s="968"/>
      <c r="H228" s="968"/>
      <c r="I228" s="968"/>
      <c r="J228" s="968"/>
      <c r="K228" s="968"/>
      <c r="L228" s="969" t="s">
        <v>120</v>
      </c>
      <c r="M228" s="975" t="s">
        <v>636</v>
      </c>
      <c r="N228" s="948" t="s">
        <v>352</v>
      </c>
      <c r="O228" s="950">
        <v>0</v>
      </c>
      <c r="P228" s="950">
        <v>0</v>
      </c>
      <c r="Q228" s="950">
        <v>0</v>
      </c>
      <c r="R228" s="466">
        <v>0</v>
      </c>
      <c r="S228" s="950">
        <v>0</v>
      </c>
      <c r="T228" s="950">
        <v>0</v>
      </c>
      <c r="U228" s="950">
        <v>0</v>
      </c>
      <c r="V228" s="950">
        <v>0</v>
      </c>
      <c r="W228" s="950">
        <v>0</v>
      </c>
      <c r="X228" s="950">
        <v>0</v>
      </c>
      <c r="Y228" s="950">
        <v>0</v>
      </c>
      <c r="Z228" s="950">
        <v>0</v>
      </c>
      <c r="AA228" s="950">
        <v>0</v>
      </c>
      <c r="AB228" s="950">
        <v>0</v>
      </c>
      <c r="AC228" s="950">
        <v>0</v>
      </c>
      <c r="AD228" s="950">
        <v>0</v>
      </c>
      <c r="AE228" s="950">
        <v>0</v>
      </c>
      <c r="AF228" s="950">
        <v>0</v>
      </c>
      <c r="AG228" s="950">
        <v>0</v>
      </c>
      <c r="AH228" s="950">
        <v>0</v>
      </c>
      <c r="AI228" s="950">
        <v>0</v>
      </c>
      <c r="AJ228" s="950">
        <v>0</v>
      </c>
      <c r="AK228" s="950">
        <v>0</v>
      </c>
      <c r="AL228" s="950">
        <v>0</v>
      </c>
      <c r="AM228" s="950">
        <v>0</v>
      </c>
      <c r="AN228" s="950">
        <v>0</v>
      </c>
      <c r="AO228" s="950">
        <v>0</v>
      </c>
      <c r="AP228" s="950">
        <v>0</v>
      </c>
      <c r="AQ228" s="950">
        <v>0</v>
      </c>
      <c r="AR228" s="950">
        <v>0</v>
      </c>
      <c r="AS228" s="950">
        <v>0</v>
      </c>
      <c r="AT228" s="950">
        <v>0</v>
      </c>
      <c r="AU228" s="950">
        <v>0</v>
      </c>
      <c r="AV228" s="950">
        <v>0</v>
      </c>
      <c r="AW228" s="950">
        <v>0</v>
      </c>
      <c r="AX228" s="796"/>
      <c r="AY228" s="796"/>
      <c r="AZ228" s="796"/>
      <c r="BA228" s="968"/>
    </row>
    <row r="229" spans="1:53" ht="11.4">
      <c r="A229" s="809">
        <v>2</v>
      </c>
      <c r="B229" s="927"/>
      <c r="C229" s="927"/>
      <c r="D229" s="927" t="s">
        <v>1599</v>
      </c>
      <c r="E229" s="927"/>
      <c r="F229" s="927"/>
      <c r="G229" s="927"/>
      <c r="H229" s="927"/>
      <c r="I229" s="927"/>
      <c r="J229" s="927"/>
      <c r="K229" s="927"/>
      <c r="L229" s="953" t="s">
        <v>122</v>
      </c>
      <c r="M229" s="954" t="s">
        <v>637</v>
      </c>
      <c r="N229" s="955" t="s">
        <v>352</v>
      </c>
      <c r="O229" s="811">
        <v>0</v>
      </c>
      <c r="P229" s="811">
        <v>0</v>
      </c>
      <c r="Q229" s="811">
        <v>0</v>
      </c>
      <c r="R229" s="961">
        <v>0</v>
      </c>
      <c r="S229" s="811">
        <v>0</v>
      </c>
      <c r="T229" s="811">
        <v>0</v>
      </c>
      <c r="U229" s="811">
        <v>0</v>
      </c>
      <c r="V229" s="811">
        <v>0</v>
      </c>
      <c r="W229" s="811">
        <v>0</v>
      </c>
      <c r="X229" s="811">
        <v>0</v>
      </c>
      <c r="Y229" s="811">
        <v>0</v>
      </c>
      <c r="Z229" s="811">
        <v>0</v>
      </c>
      <c r="AA229" s="811">
        <v>0</v>
      </c>
      <c r="AB229" s="811">
        <v>0</v>
      </c>
      <c r="AC229" s="811">
        <v>0</v>
      </c>
      <c r="AD229" s="811">
        <v>0</v>
      </c>
      <c r="AE229" s="811">
        <v>0</v>
      </c>
      <c r="AF229" s="811">
        <v>0</v>
      </c>
      <c r="AG229" s="811">
        <v>0</v>
      </c>
      <c r="AH229" s="811">
        <v>0</v>
      </c>
      <c r="AI229" s="811">
        <v>0</v>
      </c>
      <c r="AJ229" s="811">
        <v>0</v>
      </c>
      <c r="AK229" s="811">
        <v>0</v>
      </c>
      <c r="AL229" s="811">
        <v>0</v>
      </c>
      <c r="AM229" s="811">
        <v>0</v>
      </c>
      <c r="AN229" s="961">
        <v>0</v>
      </c>
      <c r="AO229" s="961">
        <v>0</v>
      </c>
      <c r="AP229" s="961">
        <v>0</v>
      </c>
      <c r="AQ229" s="961">
        <v>0</v>
      </c>
      <c r="AR229" s="961">
        <v>0</v>
      </c>
      <c r="AS229" s="961">
        <v>0</v>
      </c>
      <c r="AT229" s="961">
        <v>0</v>
      </c>
      <c r="AU229" s="961">
        <v>0</v>
      </c>
      <c r="AV229" s="961">
        <v>0</v>
      </c>
      <c r="AW229" s="961">
        <v>0</v>
      </c>
      <c r="AX229" s="796"/>
      <c r="AY229" s="796"/>
      <c r="AZ229" s="796"/>
      <c r="BA229" s="927"/>
    </row>
    <row r="230" spans="1:53" ht="11.4">
      <c r="A230" s="809">
        <v>2</v>
      </c>
      <c r="B230" s="927"/>
      <c r="C230" s="927"/>
      <c r="D230" s="927" t="s">
        <v>1600</v>
      </c>
      <c r="E230" s="927"/>
      <c r="F230" s="927"/>
      <c r="G230" s="927"/>
      <c r="H230" s="927"/>
      <c r="I230" s="927"/>
      <c r="J230" s="927"/>
      <c r="K230" s="927"/>
      <c r="L230" s="953" t="s">
        <v>123</v>
      </c>
      <c r="M230" s="954" t="s">
        <v>638</v>
      </c>
      <c r="N230" s="955" t="s">
        <v>352</v>
      </c>
      <c r="O230" s="811">
        <v>0</v>
      </c>
      <c r="P230" s="811">
        <v>0</v>
      </c>
      <c r="Q230" s="811">
        <v>0</v>
      </c>
      <c r="R230" s="961">
        <v>0</v>
      </c>
      <c r="S230" s="811">
        <v>0</v>
      </c>
      <c r="T230" s="811">
        <v>0</v>
      </c>
      <c r="U230" s="811">
        <v>0</v>
      </c>
      <c r="V230" s="811">
        <v>0</v>
      </c>
      <c r="W230" s="811">
        <v>0</v>
      </c>
      <c r="X230" s="811">
        <v>0</v>
      </c>
      <c r="Y230" s="811">
        <v>0</v>
      </c>
      <c r="Z230" s="811">
        <v>0</v>
      </c>
      <c r="AA230" s="811">
        <v>0</v>
      </c>
      <c r="AB230" s="811">
        <v>0</v>
      </c>
      <c r="AC230" s="811">
        <v>0</v>
      </c>
      <c r="AD230" s="811">
        <v>0</v>
      </c>
      <c r="AE230" s="811">
        <v>0</v>
      </c>
      <c r="AF230" s="811">
        <v>0</v>
      </c>
      <c r="AG230" s="811">
        <v>0</v>
      </c>
      <c r="AH230" s="811">
        <v>0</v>
      </c>
      <c r="AI230" s="811">
        <v>0</v>
      </c>
      <c r="AJ230" s="811">
        <v>0</v>
      </c>
      <c r="AK230" s="811">
        <v>0</v>
      </c>
      <c r="AL230" s="811">
        <v>0</v>
      </c>
      <c r="AM230" s="811">
        <v>0</v>
      </c>
      <c r="AN230" s="961">
        <v>0</v>
      </c>
      <c r="AO230" s="961">
        <v>0</v>
      </c>
      <c r="AP230" s="961">
        <v>0</v>
      </c>
      <c r="AQ230" s="961">
        <v>0</v>
      </c>
      <c r="AR230" s="961">
        <v>0</v>
      </c>
      <c r="AS230" s="961">
        <v>0</v>
      </c>
      <c r="AT230" s="961">
        <v>0</v>
      </c>
      <c r="AU230" s="961">
        <v>0</v>
      </c>
      <c r="AV230" s="961">
        <v>0</v>
      </c>
      <c r="AW230" s="961">
        <v>0</v>
      </c>
      <c r="AX230" s="796"/>
      <c r="AY230" s="796"/>
      <c r="AZ230" s="796"/>
      <c r="BA230" s="927"/>
    </row>
    <row r="231" spans="1:53" ht="11.4">
      <c r="A231" s="809">
        <v>2</v>
      </c>
      <c r="B231" s="927"/>
      <c r="C231" s="927"/>
      <c r="D231" s="927" t="s">
        <v>1601</v>
      </c>
      <c r="E231" s="927"/>
      <c r="F231" s="927"/>
      <c r="G231" s="927"/>
      <c r="H231" s="927"/>
      <c r="I231" s="927"/>
      <c r="J231" s="927"/>
      <c r="K231" s="927"/>
      <c r="L231" s="953" t="s">
        <v>378</v>
      </c>
      <c r="M231" s="954" t="s">
        <v>639</v>
      </c>
      <c r="N231" s="955" t="s">
        <v>352</v>
      </c>
      <c r="O231" s="811">
        <v>0</v>
      </c>
      <c r="P231" s="811">
        <v>0</v>
      </c>
      <c r="Q231" s="811">
        <v>0</v>
      </c>
      <c r="R231" s="961">
        <v>0</v>
      </c>
      <c r="S231" s="811">
        <v>0</v>
      </c>
      <c r="T231" s="811">
        <v>0</v>
      </c>
      <c r="U231" s="811">
        <v>0</v>
      </c>
      <c r="V231" s="811">
        <v>0</v>
      </c>
      <c r="W231" s="811">
        <v>0</v>
      </c>
      <c r="X231" s="811">
        <v>0</v>
      </c>
      <c r="Y231" s="811">
        <v>0</v>
      </c>
      <c r="Z231" s="811">
        <v>0</v>
      </c>
      <c r="AA231" s="811">
        <v>0</v>
      </c>
      <c r="AB231" s="811">
        <v>0</v>
      </c>
      <c r="AC231" s="811">
        <v>0</v>
      </c>
      <c r="AD231" s="811">
        <v>0</v>
      </c>
      <c r="AE231" s="811">
        <v>0</v>
      </c>
      <c r="AF231" s="811">
        <v>0</v>
      </c>
      <c r="AG231" s="811">
        <v>0</v>
      </c>
      <c r="AH231" s="811">
        <v>0</v>
      </c>
      <c r="AI231" s="811">
        <v>0</v>
      </c>
      <c r="AJ231" s="811">
        <v>0</v>
      </c>
      <c r="AK231" s="811">
        <v>0</v>
      </c>
      <c r="AL231" s="811">
        <v>0</v>
      </c>
      <c r="AM231" s="811">
        <v>0</v>
      </c>
      <c r="AN231" s="961">
        <v>0</v>
      </c>
      <c r="AO231" s="961">
        <v>0</v>
      </c>
      <c r="AP231" s="961">
        <v>0</v>
      </c>
      <c r="AQ231" s="961">
        <v>0</v>
      </c>
      <c r="AR231" s="961">
        <v>0</v>
      </c>
      <c r="AS231" s="961">
        <v>0</v>
      </c>
      <c r="AT231" s="961">
        <v>0</v>
      </c>
      <c r="AU231" s="961">
        <v>0</v>
      </c>
      <c r="AV231" s="961">
        <v>0</v>
      </c>
      <c r="AW231" s="961">
        <v>0</v>
      </c>
      <c r="AX231" s="796"/>
      <c r="AY231" s="796"/>
      <c r="AZ231" s="796"/>
      <c r="BA231" s="927"/>
    </row>
    <row r="232" spans="1:53" ht="22.8">
      <c r="A232" s="809">
        <v>2</v>
      </c>
      <c r="B232" s="927" t="s">
        <v>1363</v>
      </c>
      <c r="C232" s="927"/>
      <c r="D232" s="927" t="s">
        <v>1602</v>
      </c>
      <c r="E232" s="927"/>
      <c r="F232" s="927"/>
      <c r="G232" s="927"/>
      <c r="H232" s="927"/>
      <c r="I232" s="927"/>
      <c r="J232" s="927"/>
      <c r="K232" s="927"/>
      <c r="L232" s="953" t="s">
        <v>379</v>
      </c>
      <c r="M232" s="954" t="s">
        <v>640</v>
      </c>
      <c r="N232" s="955" t="s">
        <v>352</v>
      </c>
      <c r="O232" s="811"/>
      <c r="P232" s="811"/>
      <c r="Q232" s="811"/>
      <c r="R232" s="961">
        <v>0</v>
      </c>
      <c r="S232" s="811"/>
      <c r="T232" s="811"/>
      <c r="U232" s="811"/>
      <c r="V232" s="811"/>
      <c r="W232" s="811"/>
      <c r="X232" s="811"/>
      <c r="Y232" s="811"/>
      <c r="Z232" s="811"/>
      <c r="AA232" s="811"/>
      <c r="AB232" s="811"/>
      <c r="AC232" s="811"/>
      <c r="AD232" s="811"/>
      <c r="AE232" s="811"/>
      <c r="AF232" s="811"/>
      <c r="AG232" s="811"/>
      <c r="AH232" s="811"/>
      <c r="AI232" s="811"/>
      <c r="AJ232" s="811"/>
      <c r="AK232" s="811"/>
      <c r="AL232" s="811"/>
      <c r="AM232" s="811"/>
      <c r="AN232" s="961">
        <v>0</v>
      </c>
      <c r="AO232" s="961">
        <v>0</v>
      </c>
      <c r="AP232" s="961">
        <v>0</v>
      </c>
      <c r="AQ232" s="961">
        <v>0</v>
      </c>
      <c r="AR232" s="961">
        <v>0</v>
      </c>
      <c r="AS232" s="961">
        <v>0</v>
      </c>
      <c r="AT232" s="961">
        <v>0</v>
      </c>
      <c r="AU232" s="961">
        <v>0</v>
      </c>
      <c r="AV232" s="961">
        <v>0</v>
      </c>
      <c r="AW232" s="961">
        <v>0</v>
      </c>
      <c r="AX232" s="796"/>
      <c r="AY232" s="796"/>
      <c r="AZ232" s="796"/>
      <c r="BA232" s="927"/>
    </row>
    <row r="233" spans="1:53" ht="11.4">
      <c r="A233" s="809">
        <v>2</v>
      </c>
      <c r="B233" s="927" t="s">
        <v>641</v>
      </c>
      <c r="C233" s="927"/>
      <c r="D233" s="927" t="s">
        <v>1448</v>
      </c>
      <c r="E233" s="927"/>
      <c r="F233" s="927"/>
      <c r="G233" s="927"/>
      <c r="H233" s="927"/>
      <c r="I233" s="927"/>
      <c r="J233" s="927"/>
      <c r="K233" s="927"/>
      <c r="L233" s="953" t="s">
        <v>124</v>
      </c>
      <c r="M233" s="976" t="s">
        <v>641</v>
      </c>
      <c r="N233" s="955" t="s">
        <v>352</v>
      </c>
      <c r="O233" s="811"/>
      <c r="P233" s="811"/>
      <c r="Q233" s="811"/>
      <c r="R233" s="961">
        <v>0</v>
      </c>
      <c r="S233" s="811"/>
      <c r="T233" s="811"/>
      <c r="U233" s="811"/>
      <c r="V233" s="811"/>
      <c r="W233" s="811"/>
      <c r="X233" s="811"/>
      <c r="Y233" s="811"/>
      <c r="Z233" s="811"/>
      <c r="AA233" s="811"/>
      <c r="AB233" s="811"/>
      <c r="AC233" s="811"/>
      <c r="AD233" s="811"/>
      <c r="AE233" s="811"/>
      <c r="AF233" s="811"/>
      <c r="AG233" s="811"/>
      <c r="AH233" s="811"/>
      <c r="AI233" s="811"/>
      <c r="AJ233" s="811"/>
      <c r="AK233" s="811"/>
      <c r="AL233" s="811"/>
      <c r="AM233" s="811"/>
      <c r="AN233" s="961">
        <v>0</v>
      </c>
      <c r="AO233" s="961">
        <v>0</v>
      </c>
      <c r="AP233" s="961">
        <v>0</v>
      </c>
      <c r="AQ233" s="961">
        <v>0</v>
      </c>
      <c r="AR233" s="961">
        <v>0</v>
      </c>
      <c r="AS233" s="961">
        <v>0</v>
      </c>
      <c r="AT233" s="961">
        <v>0</v>
      </c>
      <c r="AU233" s="961">
        <v>0</v>
      </c>
      <c r="AV233" s="961">
        <v>0</v>
      </c>
      <c r="AW233" s="961">
        <v>0</v>
      </c>
      <c r="AX233" s="796"/>
      <c r="AY233" s="796"/>
      <c r="AZ233" s="796"/>
      <c r="BA233" s="927"/>
    </row>
    <row r="234" spans="1:53" s="109" customFormat="1" ht="11.4">
      <c r="A234" s="809">
        <v>2</v>
      </c>
      <c r="B234" s="927" t="s">
        <v>1460</v>
      </c>
      <c r="C234" s="927"/>
      <c r="D234" s="927" t="s">
        <v>1463</v>
      </c>
      <c r="E234" s="968"/>
      <c r="F234" s="968"/>
      <c r="G234" s="968"/>
      <c r="H234" s="968"/>
      <c r="I234" s="968"/>
      <c r="J234" s="968"/>
      <c r="K234" s="968"/>
      <c r="L234" s="969" t="s">
        <v>125</v>
      </c>
      <c r="M234" s="977" t="s">
        <v>1462</v>
      </c>
      <c r="N234" s="971" t="s">
        <v>352</v>
      </c>
      <c r="O234" s="949">
        <v>-3.4</v>
      </c>
      <c r="P234" s="949"/>
      <c r="Q234" s="949">
        <v>-3.4</v>
      </c>
      <c r="R234" s="950">
        <v>-3.4</v>
      </c>
      <c r="S234" s="949">
        <v>27.97</v>
      </c>
      <c r="T234" s="811">
        <v>0</v>
      </c>
      <c r="U234" s="949"/>
      <c r="V234" s="949"/>
      <c r="W234" s="949"/>
      <c r="X234" s="949"/>
      <c r="Y234" s="949"/>
      <c r="Z234" s="949"/>
      <c r="AA234" s="949"/>
      <c r="AB234" s="949"/>
      <c r="AC234" s="949"/>
      <c r="AD234" s="811">
        <v>-195.99100000000021</v>
      </c>
      <c r="AE234" s="949"/>
      <c r="AF234" s="949"/>
      <c r="AG234" s="949"/>
      <c r="AH234" s="949"/>
      <c r="AI234" s="949"/>
      <c r="AJ234" s="949"/>
      <c r="AK234" s="949"/>
      <c r="AL234" s="949"/>
      <c r="AM234" s="949"/>
      <c r="AN234" s="950">
        <v>-800.7186271004656</v>
      </c>
      <c r="AO234" s="950">
        <v>-100</v>
      </c>
      <c r="AP234" s="950">
        <v>0</v>
      </c>
      <c r="AQ234" s="950">
        <v>0</v>
      </c>
      <c r="AR234" s="950">
        <v>0</v>
      </c>
      <c r="AS234" s="950">
        <v>0</v>
      </c>
      <c r="AT234" s="950">
        <v>0</v>
      </c>
      <c r="AU234" s="950">
        <v>0</v>
      </c>
      <c r="AV234" s="950">
        <v>0</v>
      </c>
      <c r="AW234" s="950">
        <v>0</v>
      </c>
      <c r="AX234" s="959"/>
      <c r="AY234" s="959"/>
      <c r="AZ234" s="959"/>
      <c r="BA234" s="968"/>
    </row>
    <row r="235" spans="1:53" ht="11.4">
      <c r="A235" s="809">
        <v>2</v>
      </c>
      <c r="B235" s="927"/>
      <c r="C235" s="927"/>
      <c r="D235" s="927"/>
      <c r="E235" s="927"/>
      <c r="F235" s="927"/>
      <c r="G235" s="927"/>
      <c r="H235" s="927"/>
      <c r="I235" s="927"/>
      <c r="J235" s="927"/>
      <c r="K235" s="927"/>
      <c r="L235" s="953"/>
      <c r="M235" s="976" t="s">
        <v>1464</v>
      </c>
      <c r="N235" s="955"/>
      <c r="O235" s="961"/>
      <c r="P235" s="961"/>
      <c r="Q235" s="961"/>
      <c r="R235" s="961"/>
      <c r="S235" s="961"/>
      <c r="T235" s="961"/>
      <c r="U235" s="961"/>
      <c r="V235" s="961"/>
      <c r="W235" s="961"/>
      <c r="X235" s="961"/>
      <c r="Y235" s="961"/>
      <c r="Z235" s="961"/>
      <c r="AA235" s="961"/>
      <c r="AB235" s="961"/>
      <c r="AC235" s="961"/>
      <c r="AD235" s="961"/>
      <c r="AE235" s="961"/>
      <c r="AF235" s="961"/>
      <c r="AG235" s="961"/>
      <c r="AH235" s="961"/>
      <c r="AI235" s="961"/>
      <c r="AJ235" s="961"/>
      <c r="AK235" s="961"/>
      <c r="AL235" s="961"/>
      <c r="AM235" s="961"/>
      <c r="AN235" s="961"/>
      <c r="AO235" s="961"/>
      <c r="AP235" s="961"/>
      <c r="AQ235" s="961"/>
      <c r="AR235" s="961"/>
      <c r="AS235" s="961"/>
      <c r="AT235" s="961"/>
      <c r="AU235" s="961"/>
      <c r="AV235" s="961"/>
      <c r="AW235" s="961"/>
      <c r="AX235" s="972"/>
      <c r="AY235" s="972"/>
      <c r="AZ235" s="972"/>
      <c r="BA235" s="927"/>
    </row>
    <row r="236" spans="1:53" ht="22.8">
      <c r="A236" s="809">
        <v>2</v>
      </c>
      <c r="B236" s="927" t="s">
        <v>1442</v>
      </c>
      <c r="C236" s="927"/>
      <c r="D236" s="927" t="s">
        <v>1450</v>
      </c>
      <c r="E236" s="927"/>
      <c r="F236" s="927"/>
      <c r="G236" s="927"/>
      <c r="H236" s="927"/>
      <c r="I236" s="927"/>
      <c r="J236" s="927"/>
      <c r="K236" s="927"/>
      <c r="L236" s="953" t="s">
        <v>181</v>
      </c>
      <c r="M236" s="954" t="s">
        <v>642</v>
      </c>
      <c r="N236" s="955" t="s">
        <v>352</v>
      </c>
      <c r="O236" s="811"/>
      <c r="P236" s="811"/>
      <c r="Q236" s="811"/>
      <c r="R236" s="961">
        <v>0</v>
      </c>
      <c r="S236" s="811"/>
      <c r="T236" s="811">
        <v>0</v>
      </c>
      <c r="U236" s="811"/>
      <c r="V236" s="811"/>
      <c r="W236" s="811"/>
      <c r="X236" s="811"/>
      <c r="Y236" s="811"/>
      <c r="Z236" s="811"/>
      <c r="AA236" s="811"/>
      <c r="AB236" s="811"/>
      <c r="AC236" s="811"/>
      <c r="AD236" s="811">
        <v>0</v>
      </c>
      <c r="AE236" s="811"/>
      <c r="AF236" s="811"/>
      <c r="AG236" s="811"/>
      <c r="AH236" s="811"/>
      <c r="AI236" s="811"/>
      <c r="AJ236" s="811"/>
      <c r="AK236" s="811"/>
      <c r="AL236" s="811"/>
      <c r="AM236" s="811"/>
      <c r="AN236" s="961"/>
      <c r="AO236" s="961"/>
      <c r="AP236" s="961"/>
      <c r="AQ236" s="961"/>
      <c r="AR236" s="961"/>
      <c r="AS236" s="961"/>
      <c r="AT236" s="961"/>
      <c r="AU236" s="961"/>
      <c r="AV236" s="961"/>
      <c r="AW236" s="961"/>
      <c r="AX236" s="796"/>
      <c r="AY236" s="796"/>
      <c r="AZ236" s="796"/>
      <c r="BA236" s="927"/>
    </row>
    <row r="237" spans="1:53" ht="114">
      <c r="A237" s="809">
        <v>2</v>
      </c>
      <c r="B237" s="927" t="s">
        <v>1444</v>
      </c>
      <c r="C237" s="927"/>
      <c r="D237" s="927" t="s">
        <v>1452</v>
      </c>
      <c r="E237" s="927"/>
      <c r="F237" s="927"/>
      <c r="G237" s="927"/>
      <c r="H237" s="927"/>
      <c r="I237" s="927"/>
      <c r="J237" s="927"/>
      <c r="K237" s="927"/>
      <c r="L237" s="953" t="s">
        <v>182</v>
      </c>
      <c r="M237" s="954" t="s">
        <v>643</v>
      </c>
      <c r="N237" s="955" t="s">
        <v>352</v>
      </c>
      <c r="O237" s="811"/>
      <c r="P237" s="811"/>
      <c r="Q237" s="811"/>
      <c r="R237" s="961">
        <v>0</v>
      </c>
      <c r="S237" s="811"/>
      <c r="T237" s="811">
        <v>0</v>
      </c>
      <c r="U237" s="811"/>
      <c r="V237" s="811"/>
      <c r="W237" s="811"/>
      <c r="X237" s="811"/>
      <c r="Y237" s="811"/>
      <c r="Z237" s="811"/>
      <c r="AA237" s="811"/>
      <c r="AB237" s="811"/>
      <c r="AC237" s="811"/>
      <c r="AD237" s="811">
        <v>0</v>
      </c>
      <c r="AE237" s="811"/>
      <c r="AF237" s="811"/>
      <c r="AG237" s="811"/>
      <c r="AH237" s="811"/>
      <c r="AI237" s="811"/>
      <c r="AJ237" s="811"/>
      <c r="AK237" s="811"/>
      <c r="AL237" s="811"/>
      <c r="AM237" s="811"/>
      <c r="AN237" s="961"/>
      <c r="AO237" s="961"/>
      <c r="AP237" s="961"/>
      <c r="AQ237" s="961"/>
      <c r="AR237" s="961"/>
      <c r="AS237" s="961"/>
      <c r="AT237" s="961"/>
      <c r="AU237" s="961"/>
      <c r="AV237" s="961"/>
      <c r="AW237" s="961"/>
      <c r="AX237" s="796"/>
      <c r="AY237" s="796"/>
      <c r="AZ237" s="796"/>
      <c r="BA237" s="927"/>
    </row>
    <row r="238" spans="1:53" ht="45.6">
      <c r="A238" s="809">
        <v>2</v>
      </c>
      <c r="B238" s="927"/>
      <c r="C238" s="927"/>
      <c r="D238" s="927" t="s">
        <v>1456</v>
      </c>
      <c r="E238" s="927"/>
      <c r="F238" s="927"/>
      <c r="G238" s="927"/>
      <c r="H238" s="927"/>
      <c r="I238" s="927"/>
      <c r="J238" s="927"/>
      <c r="K238" s="927"/>
      <c r="L238" s="953" t="s">
        <v>386</v>
      </c>
      <c r="M238" s="954" t="s">
        <v>1195</v>
      </c>
      <c r="N238" s="955" t="s">
        <v>352</v>
      </c>
      <c r="O238" s="811">
        <v>-3.4</v>
      </c>
      <c r="P238" s="811"/>
      <c r="Q238" s="811">
        <v>-3.4</v>
      </c>
      <c r="R238" s="961">
        <v>-3.4</v>
      </c>
      <c r="S238" s="811">
        <v>27.97</v>
      </c>
      <c r="T238" s="811">
        <v>0</v>
      </c>
      <c r="U238" s="811"/>
      <c r="V238" s="811"/>
      <c r="W238" s="811"/>
      <c r="X238" s="811"/>
      <c r="Y238" s="811"/>
      <c r="Z238" s="811"/>
      <c r="AA238" s="811"/>
      <c r="AB238" s="811"/>
      <c r="AC238" s="811"/>
      <c r="AD238" s="811">
        <v>-195.99100000000021</v>
      </c>
      <c r="AE238" s="811"/>
      <c r="AF238" s="811"/>
      <c r="AG238" s="811"/>
      <c r="AH238" s="811"/>
      <c r="AI238" s="811"/>
      <c r="AJ238" s="811"/>
      <c r="AK238" s="811"/>
      <c r="AL238" s="811"/>
      <c r="AM238" s="811"/>
      <c r="AN238" s="961"/>
      <c r="AO238" s="961"/>
      <c r="AP238" s="961"/>
      <c r="AQ238" s="961"/>
      <c r="AR238" s="961"/>
      <c r="AS238" s="961"/>
      <c r="AT238" s="961"/>
      <c r="AU238" s="961"/>
      <c r="AV238" s="961"/>
      <c r="AW238" s="961"/>
      <c r="AX238" s="796"/>
      <c r="AY238" s="796"/>
      <c r="AZ238" s="796"/>
      <c r="BA238" s="927"/>
    </row>
    <row r="239" spans="1:53" ht="91.2">
      <c r="A239" s="809">
        <v>2</v>
      </c>
      <c r="B239" s="927" t="s">
        <v>1446</v>
      </c>
      <c r="C239" s="933" t="b">
        <v>1</v>
      </c>
      <c r="D239" s="927" t="s">
        <v>1465</v>
      </c>
      <c r="E239" s="927"/>
      <c r="F239" s="927"/>
      <c r="G239" s="927"/>
      <c r="H239" s="927"/>
      <c r="I239" s="927"/>
      <c r="J239" s="927"/>
      <c r="K239" s="927"/>
      <c r="L239" s="953" t="s">
        <v>387</v>
      </c>
      <c r="M239" s="978" t="s">
        <v>1466</v>
      </c>
      <c r="N239" s="964" t="s">
        <v>352</v>
      </c>
      <c r="O239" s="811"/>
      <c r="P239" s="811"/>
      <c r="Q239" s="811"/>
      <c r="R239" s="961">
        <v>0</v>
      </c>
      <c r="S239" s="811"/>
      <c r="T239" s="811">
        <v>0</v>
      </c>
      <c r="U239" s="811"/>
      <c r="V239" s="811"/>
      <c r="W239" s="811"/>
      <c r="X239" s="811"/>
      <c r="Y239" s="811"/>
      <c r="Z239" s="811"/>
      <c r="AA239" s="811"/>
      <c r="AB239" s="811"/>
      <c r="AC239" s="811"/>
      <c r="AD239" s="811">
        <v>0</v>
      </c>
      <c r="AE239" s="811"/>
      <c r="AF239" s="811"/>
      <c r="AG239" s="811"/>
      <c r="AH239" s="811"/>
      <c r="AI239" s="811"/>
      <c r="AJ239" s="811"/>
      <c r="AK239" s="811"/>
      <c r="AL239" s="811"/>
      <c r="AM239" s="811"/>
      <c r="AN239" s="961"/>
      <c r="AO239" s="961"/>
      <c r="AP239" s="961"/>
      <c r="AQ239" s="961"/>
      <c r="AR239" s="961"/>
      <c r="AS239" s="961"/>
      <c r="AT239" s="961"/>
      <c r="AU239" s="961"/>
      <c r="AV239" s="961"/>
      <c r="AW239" s="961"/>
      <c r="AX239" s="796"/>
      <c r="AY239" s="796"/>
      <c r="AZ239" s="796"/>
      <c r="BA239" s="927"/>
    </row>
    <row r="240" spans="1:53" ht="57">
      <c r="A240" s="809">
        <v>2</v>
      </c>
      <c r="B240" s="927" t="s">
        <v>1448</v>
      </c>
      <c r="C240" s="933" t="b">
        <v>1</v>
      </c>
      <c r="D240" s="927" t="s">
        <v>1467</v>
      </c>
      <c r="E240" s="927"/>
      <c r="F240" s="927"/>
      <c r="G240" s="927"/>
      <c r="H240" s="927"/>
      <c r="I240" s="927"/>
      <c r="J240" s="927"/>
      <c r="K240" s="927"/>
      <c r="L240" s="953" t="s">
        <v>388</v>
      </c>
      <c r="M240" s="954" t="s">
        <v>1468</v>
      </c>
      <c r="N240" s="964" t="s">
        <v>352</v>
      </c>
      <c r="O240" s="811"/>
      <c r="P240" s="811"/>
      <c r="Q240" s="811"/>
      <c r="R240" s="961">
        <v>0</v>
      </c>
      <c r="S240" s="811"/>
      <c r="T240" s="811">
        <v>0</v>
      </c>
      <c r="U240" s="811"/>
      <c r="V240" s="811"/>
      <c r="W240" s="811"/>
      <c r="X240" s="811"/>
      <c r="Y240" s="811"/>
      <c r="Z240" s="811"/>
      <c r="AA240" s="811"/>
      <c r="AB240" s="811"/>
      <c r="AC240" s="811"/>
      <c r="AD240" s="811">
        <v>0</v>
      </c>
      <c r="AE240" s="811"/>
      <c r="AF240" s="811"/>
      <c r="AG240" s="811"/>
      <c r="AH240" s="811"/>
      <c r="AI240" s="811"/>
      <c r="AJ240" s="811"/>
      <c r="AK240" s="811"/>
      <c r="AL240" s="811"/>
      <c r="AM240" s="811"/>
      <c r="AN240" s="961"/>
      <c r="AO240" s="961"/>
      <c r="AP240" s="961"/>
      <c r="AQ240" s="961"/>
      <c r="AR240" s="961"/>
      <c r="AS240" s="961"/>
      <c r="AT240" s="961"/>
      <c r="AU240" s="961"/>
      <c r="AV240" s="961"/>
      <c r="AW240" s="961"/>
      <c r="AX240" s="796"/>
      <c r="AY240" s="796"/>
      <c r="AZ240" s="796"/>
      <c r="BA240" s="927"/>
    </row>
    <row r="241" spans="1:53" ht="11.4">
      <c r="A241" s="809">
        <v>2</v>
      </c>
      <c r="B241" s="927" t="s">
        <v>1450</v>
      </c>
      <c r="C241" s="927"/>
      <c r="D241" s="927" t="s">
        <v>1469</v>
      </c>
      <c r="E241" s="927"/>
      <c r="F241" s="927"/>
      <c r="G241" s="927"/>
      <c r="H241" s="927"/>
      <c r="I241" s="927"/>
      <c r="J241" s="927"/>
      <c r="K241" s="927"/>
      <c r="L241" s="953" t="s">
        <v>1470</v>
      </c>
      <c r="M241" s="954" t="s">
        <v>647</v>
      </c>
      <c r="N241" s="955" t="s">
        <v>352</v>
      </c>
      <c r="O241" s="811"/>
      <c r="P241" s="811"/>
      <c r="Q241" s="811"/>
      <c r="R241" s="961">
        <v>0</v>
      </c>
      <c r="S241" s="811"/>
      <c r="T241" s="811">
        <v>0</v>
      </c>
      <c r="U241" s="811"/>
      <c r="V241" s="811"/>
      <c r="W241" s="811"/>
      <c r="X241" s="811"/>
      <c r="Y241" s="811"/>
      <c r="Z241" s="811"/>
      <c r="AA241" s="811"/>
      <c r="AB241" s="811"/>
      <c r="AC241" s="811"/>
      <c r="AD241" s="811">
        <v>0</v>
      </c>
      <c r="AE241" s="811"/>
      <c r="AF241" s="811"/>
      <c r="AG241" s="811"/>
      <c r="AH241" s="811"/>
      <c r="AI241" s="811"/>
      <c r="AJ241" s="811"/>
      <c r="AK241" s="811"/>
      <c r="AL241" s="811"/>
      <c r="AM241" s="811"/>
      <c r="AN241" s="961"/>
      <c r="AO241" s="961"/>
      <c r="AP241" s="961"/>
      <c r="AQ241" s="961"/>
      <c r="AR241" s="961"/>
      <c r="AS241" s="961"/>
      <c r="AT241" s="961"/>
      <c r="AU241" s="961"/>
      <c r="AV241" s="961"/>
      <c r="AW241" s="961"/>
      <c r="AX241" s="796"/>
      <c r="AY241" s="796"/>
      <c r="AZ241" s="796"/>
      <c r="BA241" s="927"/>
    </row>
    <row r="242" spans="1:53" ht="11.4">
      <c r="A242" s="809">
        <v>2</v>
      </c>
      <c r="B242" s="927" t="s">
        <v>1452</v>
      </c>
      <c r="C242" s="927"/>
      <c r="D242" s="927" t="s">
        <v>1471</v>
      </c>
      <c r="E242" s="927"/>
      <c r="F242" s="927"/>
      <c r="G242" s="927"/>
      <c r="H242" s="927"/>
      <c r="I242" s="927"/>
      <c r="J242" s="927"/>
      <c r="K242" s="927"/>
      <c r="L242" s="953" t="s">
        <v>1472</v>
      </c>
      <c r="M242" s="954" t="s">
        <v>648</v>
      </c>
      <c r="N242" s="955" t="s">
        <v>352</v>
      </c>
      <c r="O242" s="811">
        <v>0</v>
      </c>
      <c r="P242" s="811">
        <v>0</v>
      </c>
      <c r="Q242" s="811">
        <v>0</v>
      </c>
      <c r="R242" s="961">
        <v>0</v>
      </c>
      <c r="S242" s="811">
        <v>0</v>
      </c>
      <c r="T242" s="811">
        <v>0</v>
      </c>
      <c r="U242" s="811">
        <v>0</v>
      </c>
      <c r="V242" s="811">
        <v>0</v>
      </c>
      <c r="W242" s="811">
        <v>0</v>
      </c>
      <c r="X242" s="811">
        <v>0</v>
      </c>
      <c r="Y242" s="811">
        <v>0</v>
      </c>
      <c r="Z242" s="811">
        <v>0</v>
      </c>
      <c r="AA242" s="811">
        <v>0</v>
      </c>
      <c r="AB242" s="811">
        <v>0</v>
      </c>
      <c r="AC242" s="811">
        <v>0</v>
      </c>
      <c r="AD242" s="811">
        <v>0</v>
      </c>
      <c r="AE242" s="811">
        <v>0</v>
      </c>
      <c r="AF242" s="811">
        <v>0</v>
      </c>
      <c r="AG242" s="811">
        <v>0</v>
      </c>
      <c r="AH242" s="811">
        <v>0</v>
      </c>
      <c r="AI242" s="811">
        <v>0</v>
      </c>
      <c r="AJ242" s="811">
        <v>0</v>
      </c>
      <c r="AK242" s="811">
        <v>0</v>
      </c>
      <c r="AL242" s="811">
        <v>0</v>
      </c>
      <c r="AM242" s="811">
        <v>0</v>
      </c>
      <c r="AN242" s="961">
        <v>0</v>
      </c>
      <c r="AO242" s="961">
        <v>0</v>
      </c>
      <c r="AP242" s="961">
        <v>0</v>
      </c>
      <c r="AQ242" s="961">
        <v>0</v>
      </c>
      <c r="AR242" s="961">
        <v>0</v>
      </c>
      <c r="AS242" s="961">
        <v>0</v>
      </c>
      <c r="AT242" s="961">
        <v>0</v>
      </c>
      <c r="AU242" s="961">
        <v>0</v>
      </c>
      <c r="AV242" s="961">
        <v>0</v>
      </c>
      <c r="AW242" s="961">
        <v>0</v>
      </c>
      <c r="AX242" s="796"/>
      <c r="AY242" s="796"/>
      <c r="AZ242" s="796"/>
      <c r="BA242" s="927"/>
    </row>
    <row r="243" spans="1:53" ht="22.8">
      <c r="A243" s="809">
        <v>2</v>
      </c>
      <c r="B243" s="927" t="s">
        <v>1454</v>
      </c>
      <c r="C243" s="927"/>
      <c r="D243" s="927" t="s">
        <v>1473</v>
      </c>
      <c r="E243" s="927"/>
      <c r="F243" s="927"/>
      <c r="G243" s="927"/>
      <c r="H243" s="927"/>
      <c r="I243" s="927"/>
      <c r="J243" s="927"/>
      <c r="K243" s="927"/>
      <c r="L243" s="953" t="s">
        <v>1474</v>
      </c>
      <c r="M243" s="967" t="s">
        <v>649</v>
      </c>
      <c r="N243" s="955" t="s">
        <v>352</v>
      </c>
      <c r="O243" s="811"/>
      <c r="P243" s="811"/>
      <c r="Q243" s="811"/>
      <c r="R243" s="961">
        <v>0</v>
      </c>
      <c r="S243" s="811"/>
      <c r="T243" s="811">
        <v>0</v>
      </c>
      <c r="U243" s="811"/>
      <c r="V243" s="811"/>
      <c r="W243" s="811"/>
      <c r="X243" s="811"/>
      <c r="Y243" s="811"/>
      <c r="Z243" s="811"/>
      <c r="AA243" s="811"/>
      <c r="AB243" s="811"/>
      <c r="AC243" s="811"/>
      <c r="AD243" s="811">
        <v>0</v>
      </c>
      <c r="AE243" s="811"/>
      <c r="AF243" s="811"/>
      <c r="AG243" s="811"/>
      <c r="AH243" s="811"/>
      <c r="AI243" s="811"/>
      <c r="AJ243" s="811"/>
      <c r="AK243" s="811"/>
      <c r="AL243" s="811"/>
      <c r="AM243" s="811"/>
      <c r="AN243" s="961"/>
      <c r="AO243" s="961"/>
      <c r="AP243" s="961"/>
      <c r="AQ243" s="961"/>
      <c r="AR243" s="961"/>
      <c r="AS243" s="961"/>
      <c r="AT243" s="961"/>
      <c r="AU243" s="961"/>
      <c r="AV243" s="961"/>
      <c r="AW243" s="961"/>
      <c r="AX243" s="796"/>
      <c r="AY243" s="796"/>
      <c r="AZ243" s="796"/>
      <c r="BA243" s="927"/>
    </row>
    <row r="244" spans="1:53" ht="22.8">
      <c r="A244" s="809">
        <v>2</v>
      </c>
      <c r="B244" s="927" t="s">
        <v>1455</v>
      </c>
      <c r="C244" s="927"/>
      <c r="D244" s="927" t="s">
        <v>1475</v>
      </c>
      <c r="E244" s="927"/>
      <c r="F244" s="927"/>
      <c r="G244" s="927"/>
      <c r="H244" s="927"/>
      <c r="I244" s="927"/>
      <c r="J244" s="927"/>
      <c r="K244" s="927"/>
      <c r="L244" s="953" t="s">
        <v>1476</v>
      </c>
      <c r="M244" s="960" t="s">
        <v>650</v>
      </c>
      <c r="N244" s="955" t="s">
        <v>352</v>
      </c>
      <c r="O244" s="811"/>
      <c r="P244" s="811"/>
      <c r="Q244" s="811"/>
      <c r="R244" s="961">
        <v>0</v>
      </c>
      <c r="S244" s="811"/>
      <c r="T244" s="811">
        <v>0</v>
      </c>
      <c r="U244" s="811"/>
      <c r="V244" s="811"/>
      <c r="W244" s="811"/>
      <c r="X244" s="811"/>
      <c r="Y244" s="811"/>
      <c r="Z244" s="811"/>
      <c r="AA244" s="811"/>
      <c r="AB244" s="811"/>
      <c r="AC244" s="811"/>
      <c r="AD244" s="811">
        <v>0</v>
      </c>
      <c r="AE244" s="811"/>
      <c r="AF244" s="811"/>
      <c r="AG244" s="811"/>
      <c r="AH244" s="811"/>
      <c r="AI244" s="811"/>
      <c r="AJ244" s="811"/>
      <c r="AK244" s="811"/>
      <c r="AL244" s="811"/>
      <c r="AM244" s="811"/>
      <c r="AN244" s="961"/>
      <c r="AO244" s="961"/>
      <c r="AP244" s="961"/>
      <c r="AQ244" s="961"/>
      <c r="AR244" s="961"/>
      <c r="AS244" s="961"/>
      <c r="AT244" s="961"/>
      <c r="AU244" s="961"/>
      <c r="AV244" s="961"/>
      <c r="AW244" s="961"/>
      <c r="AX244" s="796"/>
      <c r="AY244" s="796"/>
      <c r="AZ244" s="796"/>
      <c r="BA244" s="927"/>
    </row>
    <row r="245" spans="1:53" ht="11.4">
      <c r="A245" s="809">
        <v>2</v>
      </c>
      <c r="B245" s="927" t="s">
        <v>1456</v>
      </c>
      <c r="C245" s="927"/>
      <c r="D245" s="927" t="s">
        <v>1477</v>
      </c>
      <c r="E245" s="927"/>
      <c r="F245" s="927"/>
      <c r="G245" s="927"/>
      <c r="H245" s="927"/>
      <c r="I245" s="927"/>
      <c r="J245" s="927"/>
      <c r="K245" s="927"/>
      <c r="L245" s="953" t="s">
        <v>1478</v>
      </c>
      <c r="M245" s="954" t="s">
        <v>651</v>
      </c>
      <c r="N245" s="955" t="s">
        <v>352</v>
      </c>
      <c r="O245" s="811"/>
      <c r="P245" s="811"/>
      <c r="Q245" s="811"/>
      <c r="R245" s="961">
        <v>0</v>
      </c>
      <c r="S245" s="811"/>
      <c r="T245" s="811">
        <v>0</v>
      </c>
      <c r="U245" s="811"/>
      <c r="V245" s="811"/>
      <c r="W245" s="811"/>
      <c r="X245" s="811"/>
      <c r="Y245" s="811"/>
      <c r="Z245" s="811"/>
      <c r="AA245" s="811"/>
      <c r="AB245" s="811"/>
      <c r="AC245" s="811"/>
      <c r="AD245" s="811">
        <v>0</v>
      </c>
      <c r="AE245" s="811"/>
      <c r="AF245" s="811"/>
      <c r="AG245" s="811"/>
      <c r="AH245" s="811"/>
      <c r="AI245" s="811"/>
      <c r="AJ245" s="811"/>
      <c r="AK245" s="811"/>
      <c r="AL245" s="811"/>
      <c r="AM245" s="811"/>
      <c r="AN245" s="961"/>
      <c r="AO245" s="961"/>
      <c r="AP245" s="961"/>
      <c r="AQ245" s="961"/>
      <c r="AR245" s="961"/>
      <c r="AS245" s="961"/>
      <c r="AT245" s="961"/>
      <c r="AU245" s="961"/>
      <c r="AV245" s="961"/>
      <c r="AW245" s="961"/>
      <c r="AX245" s="796"/>
      <c r="AY245" s="796"/>
      <c r="AZ245" s="796"/>
      <c r="BA245" s="927"/>
    </row>
    <row r="246" spans="1:53" ht="11.4">
      <c r="A246" s="809">
        <v>2</v>
      </c>
      <c r="B246" s="927" t="s">
        <v>1458</v>
      </c>
      <c r="C246" s="927"/>
      <c r="D246" s="927" t="s">
        <v>1479</v>
      </c>
      <c r="E246" s="927"/>
      <c r="F246" s="927"/>
      <c r="G246" s="927"/>
      <c r="H246" s="927"/>
      <c r="I246" s="927"/>
      <c r="J246" s="927"/>
      <c r="K246" s="927"/>
      <c r="L246" s="953" t="s">
        <v>1480</v>
      </c>
      <c r="M246" s="954" t="s">
        <v>652</v>
      </c>
      <c r="N246" s="955" t="s">
        <v>352</v>
      </c>
      <c r="O246" s="811"/>
      <c r="P246" s="811"/>
      <c r="Q246" s="811"/>
      <c r="R246" s="961">
        <v>0</v>
      </c>
      <c r="S246" s="811"/>
      <c r="T246" s="811">
        <v>0</v>
      </c>
      <c r="U246" s="811"/>
      <c r="V246" s="811"/>
      <c r="W246" s="811"/>
      <c r="X246" s="811"/>
      <c r="Y246" s="811"/>
      <c r="Z246" s="811"/>
      <c r="AA246" s="811"/>
      <c r="AB246" s="811"/>
      <c r="AC246" s="811"/>
      <c r="AD246" s="811">
        <v>0</v>
      </c>
      <c r="AE246" s="811"/>
      <c r="AF246" s="811"/>
      <c r="AG246" s="811"/>
      <c r="AH246" s="811"/>
      <c r="AI246" s="811"/>
      <c r="AJ246" s="811"/>
      <c r="AK246" s="811"/>
      <c r="AL246" s="811"/>
      <c r="AM246" s="811"/>
      <c r="AN246" s="961"/>
      <c r="AO246" s="961"/>
      <c r="AP246" s="961"/>
      <c r="AQ246" s="961"/>
      <c r="AR246" s="961"/>
      <c r="AS246" s="961"/>
      <c r="AT246" s="961"/>
      <c r="AU246" s="961"/>
      <c r="AV246" s="961"/>
      <c r="AW246" s="961"/>
      <c r="AX246" s="796"/>
      <c r="AY246" s="796"/>
      <c r="AZ246" s="796"/>
      <c r="BA246" s="927"/>
    </row>
    <row r="247" spans="1:53" s="109" customFormat="1" ht="11.4">
      <c r="A247" s="809">
        <v>2</v>
      </c>
      <c r="B247" s="968"/>
      <c r="C247" s="968"/>
      <c r="D247" s="968" t="s">
        <v>1458</v>
      </c>
      <c r="E247" s="968"/>
      <c r="F247" s="968"/>
      <c r="G247" s="968"/>
      <c r="H247" s="968"/>
      <c r="I247" s="968"/>
      <c r="J247" s="968"/>
      <c r="K247" s="968"/>
      <c r="L247" s="969" t="s">
        <v>126</v>
      </c>
      <c r="M247" s="975" t="s">
        <v>644</v>
      </c>
      <c r="N247" s="971" t="s">
        <v>352</v>
      </c>
      <c r="O247" s="949">
        <v>-43.27</v>
      </c>
      <c r="P247" s="949"/>
      <c r="Q247" s="949">
        <v>-43.27</v>
      </c>
      <c r="R247" s="950">
        <v>-43.27</v>
      </c>
      <c r="S247" s="949">
        <v>-127.08</v>
      </c>
      <c r="T247" s="949"/>
      <c r="U247" s="949"/>
      <c r="V247" s="949"/>
      <c r="W247" s="949"/>
      <c r="X247" s="949"/>
      <c r="Y247" s="949"/>
      <c r="Z247" s="949"/>
      <c r="AA247" s="949"/>
      <c r="AB247" s="949"/>
      <c r="AC247" s="949"/>
      <c r="AD247" s="949">
        <v>127.08</v>
      </c>
      <c r="AE247" s="949"/>
      <c r="AF247" s="949"/>
      <c r="AG247" s="949"/>
      <c r="AH247" s="949"/>
      <c r="AI247" s="949"/>
      <c r="AJ247" s="949"/>
      <c r="AK247" s="949"/>
      <c r="AL247" s="949"/>
      <c r="AM247" s="949"/>
      <c r="AN247" s="950"/>
      <c r="AO247" s="950"/>
      <c r="AP247" s="950"/>
      <c r="AQ247" s="950"/>
      <c r="AR247" s="950"/>
      <c r="AS247" s="950"/>
      <c r="AT247" s="950"/>
      <c r="AU247" s="950"/>
      <c r="AV247" s="950"/>
      <c r="AW247" s="950"/>
      <c r="AX247" s="959"/>
      <c r="AY247" s="959"/>
      <c r="AZ247" s="959"/>
      <c r="BA247" s="968"/>
    </row>
    <row r="248" spans="1:53" ht="11.4">
      <c r="A248" s="809">
        <v>2</v>
      </c>
      <c r="B248" s="927"/>
      <c r="C248" s="927"/>
      <c r="D248" s="927" t="s">
        <v>1481</v>
      </c>
      <c r="E248" s="927"/>
      <c r="F248" s="927"/>
      <c r="G248" s="927"/>
      <c r="H248" s="927"/>
      <c r="I248" s="927"/>
      <c r="J248" s="927"/>
      <c r="K248" s="927"/>
      <c r="L248" s="953" t="s">
        <v>141</v>
      </c>
      <c r="M248" s="954" t="s">
        <v>1205</v>
      </c>
      <c r="N248" s="955" t="s">
        <v>137</v>
      </c>
      <c r="O248" s="961">
        <v>-3.694217486702696</v>
      </c>
      <c r="P248" s="961">
        <v>0</v>
      </c>
      <c r="Q248" s="961">
        <v>-3.8508089635654912</v>
      </c>
      <c r="R248" s="961">
        <v>-3.8508089635654912</v>
      </c>
      <c r="S248" s="961">
        <v>-9.524594710057487</v>
      </c>
      <c r="T248" s="961">
        <v>0</v>
      </c>
      <c r="U248" s="961">
        <v>0</v>
      </c>
      <c r="V248" s="961">
        <v>0</v>
      </c>
      <c r="W248" s="961">
        <v>0</v>
      </c>
      <c r="X248" s="961">
        <v>0</v>
      </c>
      <c r="Y248" s="961">
        <v>0</v>
      </c>
      <c r="Z248" s="961">
        <v>0</v>
      </c>
      <c r="AA248" s="961">
        <v>0</v>
      </c>
      <c r="AB248" s="961">
        <v>0</v>
      </c>
      <c r="AC248" s="961">
        <v>0</v>
      </c>
      <c r="AD248" s="961">
        <v>9.7826086956521738</v>
      </c>
      <c r="AE248" s="961">
        <v>0</v>
      </c>
      <c r="AF248" s="961">
        <v>0</v>
      </c>
      <c r="AG248" s="961">
        <v>0</v>
      </c>
      <c r="AH248" s="961">
        <v>0</v>
      </c>
      <c r="AI248" s="961">
        <v>0</v>
      </c>
      <c r="AJ248" s="961">
        <v>0</v>
      </c>
      <c r="AK248" s="961">
        <v>0</v>
      </c>
      <c r="AL248" s="961">
        <v>0</v>
      </c>
      <c r="AM248" s="961">
        <v>0</v>
      </c>
      <c r="AN248" s="961"/>
      <c r="AO248" s="961"/>
      <c r="AP248" s="961"/>
      <c r="AQ248" s="961"/>
      <c r="AR248" s="961"/>
      <c r="AS248" s="961"/>
      <c r="AT248" s="961"/>
      <c r="AU248" s="961"/>
      <c r="AV248" s="961"/>
      <c r="AW248" s="961"/>
      <c r="AX248" s="796"/>
      <c r="AY248" s="796"/>
      <c r="AZ248" s="796"/>
      <c r="BA248" s="927"/>
    </row>
    <row r="249" spans="1:53" s="109" customFormat="1" ht="11.4">
      <c r="A249" s="809">
        <v>2</v>
      </c>
      <c r="B249" s="968"/>
      <c r="C249" s="927"/>
      <c r="D249" s="927" t="s">
        <v>1460</v>
      </c>
      <c r="E249" s="968"/>
      <c r="F249" s="968"/>
      <c r="G249" s="968"/>
      <c r="H249" s="968"/>
      <c r="I249" s="968"/>
      <c r="J249" s="968"/>
      <c r="K249" s="968"/>
      <c r="L249" s="969" t="s">
        <v>127</v>
      </c>
      <c r="M249" s="975" t="s">
        <v>645</v>
      </c>
      <c r="N249" s="948" t="s">
        <v>352</v>
      </c>
      <c r="O249" s="979">
        <v>1171.29</v>
      </c>
      <c r="P249" s="950">
        <v>2183.52</v>
      </c>
      <c r="Q249" s="950">
        <v>1123.6600000000001</v>
      </c>
      <c r="R249" s="950">
        <v>-1059.8599999999999</v>
      </c>
      <c r="S249" s="950">
        <v>1334.23</v>
      </c>
      <c r="T249" s="950">
        <v>3097.29</v>
      </c>
      <c r="U249" s="950">
        <v>2987.09</v>
      </c>
      <c r="V249" s="950">
        <v>2987.09</v>
      </c>
      <c r="W249" s="950">
        <v>2987.09</v>
      </c>
      <c r="X249" s="950">
        <v>2987.09</v>
      </c>
      <c r="Y249" s="950">
        <v>2987.09</v>
      </c>
      <c r="Z249" s="950">
        <v>2987.09</v>
      </c>
      <c r="AA249" s="950">
        <v>2987.09</v>
      </c>
      <c r="AB249" s="950">
        <v>2987.09</v>
      </c>
      <c r="AC249" s="950">
        <v>2987.09</v>
      </c>
      <c r="AD249" s="950">
        <v>1299.04</v>
      </c>
      <c r="AE249" s="950">
        <v>1299.04</v>
      </c>
      <c r="AF249" s="950">
        <v>1299.04</v>
      </c>
      <c r="AG249" s="950">
        <v>1299.04</v>
      </c>
      <c r="AH249" s="950">
        <v>1299.04</v>
      </c>
      <c r="AI249" s="950">
        <v>1299.04</v>
      </c>
      <c r="AJ249" s="950">
        <v>1299.04</v>
      </c>
      <c r="AK249" s="950">
        <v>1299.04</v>
      </c>
      <c r="AL249" s="950">
        <v>1299.04</v>
      </c>
      <c r="AM249" s="950">
        <v>1299.04</v>
      </c>
      <c r="AN249" s="950">
        <v>-2.6374762971901435</v>
      </c>
      <c r="AO249" s="950">
        <v>0</v>
      </c>
      <c r="AP249" s="950">
        <v>0</v>
      </c>
      <c r="AQ249" s="950">
        <v>0</v>
      </c>
      <c r="AR249" s="950">
        <v>0</v>
      </c>
      <c r="AS249" s="950">
        <v>0</v>
      </c>
      <c r="AT249" s="950">
        <v>0</v>
      </c>
      <c r="AU249" s="950">
        <v>0</v>
      </c>
      <c r="AV249" s="950">
        <v>0</v>
      </c>
      <c r="AW249" s="950">
        <v>0</v>
      </c>
      <c r="AX249" s="796"/>
      <c r="AY249" s="796"/>
      <c r="AZ249" s="796"/>
      <c r="BA249" s="968"/>
    </row>
    <row r="250" spans="1:53" s="109" customFormat="1" ht="11.4">
      <c r="A250" s="809">
        <v>2</v>
      </c>
      <c r="B250" s="968"/>
      <c r="C250" s="927"/>
      <c r="D250" s="927" t="s">
        <v>1482</v>
      </c>
      <c r="E250" s="968"/>
      <c r="F250" s="968"/>
      <c r="G250" s="968"/>
      <c r="H250" s="968"/>
      <c r="I250" s="968"/>
      <c r="J250" s="968"/>
      <c r="K250" s="968"/>
      <c r="L250" s="969" t="s">
        <v>128</v>
      </c>
      <c r="M250" s="975" t="s">
        <v>653</v>
      </c>
      <c r="N250" s="971" t="s">
        <v>352</v>
      </c>
      <c r="O250" s="979">
        <v>1124.6199999999999</v>
      </c>
      <c r="P250" s="950">
        <v>2183.52</v>
      </c>
      <c r="Q250" s="950">
        <v>1076.99</v>
      </c>
      <c r="R250" s="950">
        <v>-1106.53</v>
      </c>
      <c r="S250" s="950">
        <v>1235.1200000000001</v>
      </c>
      <c r="T250" s="950">
        <v>3097.29</v>
      </c>
      <c r="U250" s="950">
        <v>2987.09</v>
      </c>
      <c r="V250" s="950">
        <v>2987.09</v>
      </c>
      <c r="W250" s="950">
        <v>2987.09</v>
      </c>
      <c r="X250" s="950">
        <v>2987.09</v>
      </c>
      <c r="Y250" s="950">
        <v>2987.09</v>
      </c>
      <c r="Z250" s="950">
        <v>2987.09</v>
      </c>
      <c r="AA250" s="950">
        <v>2987.09</v>
      </c>
      <c r="AB250" s="950">
        <v>2987.09</v>
      </c>
      <c r="AC250" s="950">
        <v>2987.09</v>
      </c>
      <c r="AD250" s="950">
        <v>1230.1289999999997</v>
      </c>
      <c r="AE250" s="950">
        <v>1299.04</v>
      </c>
      <c r="AF250" s="950">
        <v>1299.04</v>
      </c>
      <c r="AG250" s="950">
        <v>1299.04</v>
      </c>
      <c r="AH250" s="950">
        <v>1299.04</v>
      </c>
      <c r="AI250" s="950">
        <v>1299.04</v>
      </c>
      <c r="AJ250" s="950">
        <v>1299.04</v>
      </c>
      <c r="AK250" s="950">
        <v>1299.04</v>
      </c>
      <c r="AL250" s="950">
        <v>1299.04</v>
      </c>
      <c r="AM250" s="950">
        <v>1299.04</v>
      </c>
      <c r="AN250" s="950">
        <v>-0.40409029082198006</v>
      </c>
      <c r="AO250" s="950">
        <v>5.6019328054212449</v>
      </c>
      <c r="AP250" s="950">
        <v>0</v>
      </c>
      <c r="AQ250" s="950">
        <v>0</v>
      </c>
      <c r="AR250" s="950">
        <v>0</v>
      </c>
      <c r="AS250" s="950">
        <v>0</v>
      </c>
      <c r="AT250" s="950">
        <v>0</v>
      </c>
      <c r="AU250" s="950">
        <v>0</v>
      </c>
      <c r="AV250" s="950">
        <v>0</v>
      </c>
      <c r="AW250" s="950">
        <v>0</v>
      </c>
      <c r="AX250" s="796"/>
      <c r="AY250" s="796"/>
      <c r="AZ250" s="796"/>
      <c r="BA250" s="968"/>
    </row>
    <row r="251" spans="1:53" ht="14.4">
      <c r="A251" s="809">
        <v>2</v>
      </c>
      <c r="B251" s="927"/>
      <c r="C251" s="933" t="b">
        <v>0</v>
      </c>
      <c r="D251" s="980" t="s">
        <v>1483</v>
      </c>
      <c r="E251" s="927"/>
      <c r="F251" s="927"/>
      <c r="G251" s="927"/>
      <c r="H251" s="927"/>
      <c r="I251" s="927"/>
      <c r="J251" s="927"/>
      <c r="K251" s="927"/>
      <c r="L251" s="953" t="s">
        <v>1204</v>
      </c>
      <c r="M251" s="954" t="s">
        <v>1301</v>
      </c>
      <c r="N251" s="955" t="s">
        <v>352</v>
      </c>
      <c r="O251" s="811"/>
      <c r="P251" s="811"/>
      <c r="Q251" s="811"/>
      <c r="R251" s="961">
        <v>0</v>
      </c>
      <c r="S251" s="811"/>
      <c r="T251" s="811"/>
      <c r="U251" s="811"/>
      <c r="V251" s="811"/>
      <c r="W251" s="811"/>
      <c r="X251" s="811"/>
      <c r="Y251" s="811"/>
      <c r="Z251" s="811"/>
      <c r="AA251" s="811"/>
      <c r="AB251" s="811"/>
      <c r="AC251" s="811"/>
      <c r="AD251" s="811"/>
      <c r="AE251" s="811"/>
      <c r="AF251" s="811"/>
      <c r="AG251" s="811"/>
      <c r="AH251" s="811"/>
      <c r="AI251" s="811"/>
      <c r="AJ251" s="811"/>
      <c r="AK251" s="811"/>
      <c r="AL251" s="811"/>
      <c r="AM251" s="811"/>
      <c r="AN251" s="961"/>
      <c r="AO251" s="961"/>
      <c r="AP251" s="961"/>
      <c r="AQ251" s="961"/>
      <c r="AR251" s="961"/>
      <c r="AS251" s="961"/>
      <c r="AT251" s="961"/>
      <c r="AU251" s="961"/>
      <c r="AV251" s="961"/>
      <c r="AW251" s="961"/>
      <c r="AX251" s="796"/>
      <c r="AY251" s="796"/>
      <c r="AZ251" s="796"/>
      <c r="BA251" s="927"/>
    </row>
    <row r="252" spans="1:53" ht="14.4">
      <c r="A252" s="809">
        <v>2</v>
      </c>
      <c r="B252" s="927"/>
      <c r="C252" s="933" t="b">
        <v>0</v>
      </c>
      <c r="D252" s="980" t="s">
        <v>1484</v>
      </c>
      <c r="E252" s="927"/>
      <c r="F252" s="927"/>
      <c r="G252" s="927"/>
      <c r="H252" s="927"/>
      <c r="I252" s="927"/>
      <c r="J252" s="927"/>
      <c r="K252" s="927"/>
      <c r="L252" s="953" t="s">
        <v>1269</v>
      </c>
      <c r="M252" s="954" t="s">
        <v>1302</v>
      </c>
      <c r="N252" s="955" t="s">
        <v>352</v>
      </c>
      <c r="O252" s="811"/>
      <c r="P252" s="811"/>
      <c r="Q252" s="811"/>
      <c r="R252" s="961">
        <v>0</v>
      </c>
      <c r="S252" s="811"/>
      <c r="T252" s="811"/>
      <c r="U252" s="811"/>
      <c r="V252" s="811"/>
      <c r="W252" s="811"/>
      <c r="X252" s="811"/>
      <c r="Y252" s="811"/>
      <c r="Z252" s="811"/>
      <c r="AA252" s="811"/>
      <c r="AB252" s="811"/>
      <c r="AC252" s="811"/>
      <c r="AD252" s="811"/>
      <c r="AE252" s="811"/>
      <c r="AF252" s="811"/>
      <c r="AG252" s="811"/>
      <c r="AH252" s="811"/>
      <c r="AI252" s="811"/>
      <c r="AJ252" s="811"/>
      <c r="AK252" s="811"/>
      <c r="AL252" s="811"/>
      <c r="AM252" s="811"/>
      <c r="AN252" s="961"/>
      <c r="AO252" s="961"/>
      <c r="AP252" s="961"/>
      <c r="AQ252" s="961"/>
      <c r="AR252" s="961"/>
      <c r="AS252" s="961"/>
      <c r="AT252" s="961"/>
      <c r="AU252" s="961"/>
      <c r="AV252" s="961"/>
      <c r="AW252" s="961"/>
      <c r="AX252" s="796"/>
      <c r="AY252" s="796"/>
      <c r="AZ252" s="796"/>
      <c r="BA252" s="927"/>
    </row>
    <row r="253" spans="1:53" s="109" customFormat="1" ht="11.4">
      <c r="A253" s="809">
        <v>2</v>
      </c>
      <c r="B253" s="927" t="s">
        <v>1184</v>
      </c>
      <c r="C253" s="927"/>
      <c r="D253" s="927" t="s">
        <v>1485</v>
      </c>
      <c r="E253" s="968"/>
      <c r="F253" s="968"/>
      <c r="G253" s="968"/>
      <c r="H253" s="968"/>
      <c r="I253" s="968"/>
      <c r="J253" s="968"/>
      <c r="K253" s="968"/>
      <c r="L253" s="969" t="s">
        <v>129</v>
      </c>
      <c r="M253" s="975" t="s">
        <v>654</v>
      </c>
      <c r="N253" s="971" t="s">
        <v>311</v>
      </c>
      <c r="O253" s="981">
        <v>518.96</v>
      </c>
      <c r="P253" s="981">
        <v>644.19000000000005</v>
      </c>
      <c r="Q253" s="981">
        <v>644.19000000000005</v>
      </c>
      <c r="R253" s="981">
        <v>0</v>
      </c>
      <c r="S253" s="981">
        <v>518.96</v>
      </c>
      <c r="T253" s="981">
        <v>515.84</v>
      </c>
      <c r="U253" s="981">
        <v>0</v>
      </c>
      <c r="V253" s="981">
        <v>0</v>
      </c>
      <c r="W253" s="981">
        <v>0</v>
      </c>
      <c r="X253" s="981">
        <v>0</v>
      </c>
      <c r="Y253" s="981">
        <v>0</v>
      </c>
      <c r="Z253" s="981">
        <v>0</v>
      </c>
      <c r="AA253" s="981">
        <v>0</v>
      </c>
      <c r="AB253" s="981">
        <v>0</v>
      </c>
      <c r="AC253" s="981">
        <v>0</v>
      </c>
      <c r="AD253" s="981">
        <v>515.84</v>
      </c>
      <c r="AE253" s="981">
        <v>0</v>
      </c>
      <c r="AF253" s="981">
        <v>0</v>
      </c>
      <c r="AG253" s="981">
        <v>0</v>
      </c>
      <c r="AH253" s="981">
        <v>0</v>
      </c>
      <c r="AI253" s="981">
        <v>0</v>
      </c>
      <c r="AJ253" s="981">
        <v>0</v>
      </c>
      <c r="AK253" s="981">
        <v>0</v>
      </c>
      <c r="AL253" s="981">
        <v>0</v>
      </c>
      <c r="AM253" s="981">
        <v>0</v>
      </c>
      <c r="AN253" s="950"/>
      <c r="AO253" s="950"/>
      <c r="AP253" s="950"/>
      <c r="AQ253" s="950"/>
      <c r="AR253" s="950"/>
      <c r="AS253" s="950"/>
      <c r="AT253" s="950"/>
      <c r="AU253" s="950"/>
      <c r="AV253" s="950"/>
      <c r="AW253" s="950"/>
      <c r="AX253" s="796"/>
      <c r="AY253" s="796"/>
      <c r="AZ253" s="796"/>
      <c r="BA253" s="968"/>
    </row>
    <row r="254" spans="1:53" ht="11.4">
      <c r="A254" s="809">
        <v>2</v>
      </c>
      <c r="B254" s="927" t="s">
        <v>1180</v>
      </c>
      <c r="C254" s="927"/>
      <c r="D254" s="927" t="s">
        <v>1486</v>
      </c>
      <c r="E254" s="927"/>
      <c r="F254" s="927"/>
      <c r="G254" s="927"/>
      <c r="H254" s="927"/>
      <c r="I254" s="927"/>
      <c r="J254" s="927"/>
      <c r="K254" s="927"/>
      <c r="L254" s="953" t="s">
        <v>1487</v>
      </c>
      <c r="M254" s="978" t="s">
        <v>1108</v>
      </c>
      <c r="N254" s="955" t="s">
        <v>311</v>
      </c>
      <c r="O254" s="982">
        <v>259.48</v>
      </c>
      <c r="P254" s="982">
        <v>322.09500000000003</v>
      </c>
      <c r="Q254" s="982">
        <v>322.09500000000003</v>
      </c>
      <c r="R254" s="957">
        <v>0</v>
      </c>
      <c r="S254" s="982">
        <v>243.98</v>
      </c>
      <c r="T254" s="982">
        <v>268.31</v>
      </c>
      <c r="U254" s="982">
        <v>0</v>
      </c>
      <c r="V254" s="982">
        <v>0</v>
      </c>
      <c r="W254" s="982">
        <v>0</v>
      </c>
      <c r="X254" s="982">
        <v>0</v>
      </c>
      <c r="Y254" s="982">
        <v>0</v>
      </c>
      <c r="Z254" s="982">
        <v>0</v>
      </c>
      <c r="AA254" s="982">
        <v>0</v>
      </c>
      <c r="AB254" s="982">
        <v>0</v>
      </c>
      <c r="AC254" s="982">
        <v>0</v>
      </c>
      <c r="AD254" s="982">
        <v>268.31</v>
      </c>
      <c r="AE254" s="982">
        <v>0</v>
      </c>
      <c r="AF254" s="982">
        <v>0</v>
      </c>
      <c r="AG254" s="982">
        <v>0</v>
      </c>
      <c r="AH254" s="982">
        <v>0</v>
      </c>
      <c r="AI254" s="982">
        <v>0</v>
      </c>
      <c r="AJ254" s="982">
        <v>0</v>
      </c>
      <c r="AK254" s="982">
        <v>0</v>
      </c>
      <c r="AL254" s="982">
        <v>0</v>
      </c>
      <c r="AM254" s="982">
        <v>0</v>
      </c>
      <c r="AN254" s="961"/>
      <c r="AO254" s="961"/>
      <c r="AP254" s="961"/>
      <c r="AQ254" s="961"/>
      <c r="AR254" s="961"/>
      <c r="AS254" s="961"/>
      <c r="AT254" s="961"/>
      <c r="AU254" s="961"/>
      <c r="AV254" s="961"/>
      <c r="AW254" s="961"/>
      <c r="AX254" s="796"/>
      <c r="AY254" s="796"/>
      <c r="AZ254" s="796"/>
      <c r="BA254" s="927"/>
    </row>
    <row r="255" spans="1:53" ht="11.4">
      <c r="A255" s="809">
        <v>2</v>
      </c>
      <c r="B255" s="927" t="s">
        <v>1175</v>
      </c>
      <c r="C255" s="927"/>
      <c r="D255" s="927" t="s">
        <v>1488</v>
      </c>
      <c r="E255" s="927"/>
      <c r="F255" s="927"/>
      <c r="G255" s="927"/>
      <c r="H255" s="927"/>
      <c r="I255" s="927"/>
      <c r="J255" s="927"/>
      <c r="K255" s="927"/>
      <c r="L255" s="953" t="s">
        <v>1489</v>
      </c>
      <c r="M255" s="978" t="s">
        <v>1107</v>
      </c>
      <c r="N255" s="955" t="s">
        <v>655</v>
      </c>
      <c r="O255" s="983">
        <v>2.13</v>
      </c>
      <c r="P255" s="983">
        <v>2.13</v>
      </c>
      <c r="Q255" s="983">
        <v>2.13</v>
      </c>
      <c r="R255" s="961">
        <v>0</v>
      </c>
      <c r="S255" s="983">
        <v>2.38</v>
      </c>
      <c r="T255" s="983">
        <v>4.8099999999999996</v>
      </c>
      <c r="U255" s="983"/>
      <c r="V255" s="983"/>
      <c r="W255" s="983"/>
      <c r="X255" s="983"/>
      <c r="Y255" s="983"/>
      <c r="Z255" s="983"/>
      <c r="AA255" s="983"/>
      <c r="AB255" s="983"/>
      <c r="AC255" s="983"/>
      <c r="AD255" s="983">
        <v>2.38</v>
      </c>
      <c r="AE255" s="983"/>
      <c r="AF255" s="983"/>
      <c r="AG255" s="983"/>
      <c r="AH255" s="983"/>
      <c r="AI255" s="983"/>
      <c r="AJ255" s="983"/>
      <c r="AK255" s="983"/>
      <c r="AL255" s="983"/>
      <c r="AM255" s="983"/>
      <c r="AN255" s="961"/>
      <c r="AO255" s="961"/>
      <c r="AP255" s="961"/>
      <c r="AQ255" s="961"/>
      <c r="AR255" s="961"/>
      <c r="AS255" s="961"/>
      <c r="AT255" s="961"/>
      <c r="AU255" s="961"/>
      <c r="AV255" s="961"/>
      <c r="AW255" s="961"/>
      <c r="AX255" s="796"/>
      <c r="AY255" s="796"/>
      <c r="AZ255" s="796"/>
      <c r="BA255" s="927"/>
    </row>
    <row r="256" spans="1:53" ht="11.4">
      <c r="A256" s="809">
        <v>2</v>
      </c>
      <c r="B256" s="927" t="s">
        <v>1181</v>
      </c>
      <c r="C256" s="927"/>
      <c r="D256" s="927" t="s">
        <v>1490</v>
      </c>
      <c r="E256" s="927"/>
      <c r="F256" s="927"/>
      <c r="G256" s="927"/>
      <c r="H256" s="927"/>
      <c r="I256" s="927"/>
      <c r="J256" s="927"/>
      <c r="K256" s="927"/>
      <c r="L256" s="953" t="s">
        <v>1491</v>
      </c>
      <c r="M256" s="978" t="s">
        <v>1109</v>
      </c>
      <c r="N256" s="955" t="s">
        <v>311</v>
      </c>
      <c r="O256" s="984">
        <v>259.48</v>
      </c>
      <c r="P256" s="984">
        <v>322.09500000000003</v>
      </c>
      <c r="Q256" s="984">
        <v>322.09500000000003</v>
      </c>
      <c r="R256" s="957">
        <v>0</v>
      </c>
      <c r="S256" s="984">
        <v>274.98</v>
      </c>
      <c r="T256" s="984">
        <v>247.53000000000003</v>
      </c>
      <c r="U256" s="984">
        <v>0</v>
      </c>
      <c r="V256" s="984">
        <v>0</v>
      </c>
      <c r="W256" s="984">
        <v>0</v>
      </c>
      <c r="X256" s="984">
        <v>0</v>
      </c>
      <c r="Y256" s="984">
        <v>0</v>
      </c>
      <c r="Z256" s="984">
        <v>0</v>
      </c>
      <c r="AA256" s="984">
        <v>0</v>
      </c>
      <c r="AB256" s="984">
        <v>0</v>
      </c>
      <c r="AC256" s="984">
        <v>0</v>
      </c>
      <c r="AD256" s="984">
        <v>247.53000000000003</v>
      </c>
      <c r="AE256" s="984">
        <v>0</v>
      </c>
      <c r="AF256" s="984">
        <v>0</v>
      </c>
      <c r="AG256" s="984">
        <v>0</v>
      </c>
      <c r="AH256" s="984">
        <v>0</v>
      </c>
      <c r="AI256" s="984">
        <v>0</v>
      </c>
      <c r="AJ256" s="984">
        <v>0</v>
      </c>
      <c r="AK256" s="984">
        <v>0</v>
      </c>
      <c r="AL256" s="984">
        <v>0</v>
      </c>
      <c r="AM256" s="984">
        <v>0</v>
      </c>
      <c r="AN256" s="961"/>
      <c r="AO256" s="961"/>
      <c r="AP256" s="961"/>
      <c r="AQ256" s="961"/>
      <c r="AR256" s="961"/>
      <c r="AS256" s="961"/>
      <c r="AT256" s="961"/>
      <c r="AU256" s="961"/>
      <c r="AV256" s="961"/>
      <c r="AW256" s="961"/>
      <c r="AX256" s="796"/>
      <c r="AY256" s="796"/>
      <c r="AZ256" s="796"/>
      <c r="BA256" s="927"/>
    </row>
    <row r="257" spans="1:53" ht="11.4">
      <c r="A257" s="809">
        <v>2</v>
      </c>
      <c r="B257" s="927" t="s">
        <v>1176</v>
      </c>
      <c r="C257" s="927"/>
      <c r="D257" s="927" t="s">
        <v>1492</v>
      </c>
      <c r="E257" s="927"/>
      <c r="F257" s="927"/>
      <c r="G257" s="927"/>
      <c r="H257" s="927"/>
      <c r="I257" s="927"/>
      <c r="J257" s="927"/>
      <c r="K257" s="927"/>
      <c r="L257" s="953" t="s">
        <v>1493</v>
      </c>
      <c r="M257" s="978" t="s">
        <v>1110</v>
      </c>
      <c r="N257" s="955" t="s">
        <v>655</v>
      </c>
      <c r="O257" s="983">
        <v>2.2041297980576533</v>
      </c>
      <c r="P257" s="983">
        <v>4.6491179620919283</v>
      </c>
      <c r="Q257" s="983">
        <v>1.2137029447833712</v>
      </c>
      <c r="R257" s="961">
        <v>-3.4354150173085571</v>
      </c>
      <c r="S257" s="983">
        <v>2.3799825441850322</v>
      </c>
      <c r="T257" s="983">
        <v>7.29</v>
      </c>
      <c r="U257" s="983">
        <v>0</v>
      </c>
      <c r="V257" s="983">
        <v>0</v>
      </c>
      <c r="W257" s="983">
        <v>0</v>
      </c>
      <c r="X257" s="983">
        <v>0</v>
      </c>
      <c r="Y257" s="983">
        <v>0</v>
      </c>
      <c r="Z257" s="983">
        <v>0</v>
      </c>
      <c r="AA257" s="983">
        <v>0</v>
      </c>
      <c r="AB257" s="983">
        <v>0</v>
      </c>
      <c r="AC257" s="983">
        <v>0</v>
      </c>
      <c r="AD257" s="983">
        <v>2.3898161838968996</v>
      </c>
      <c r="AE257" s="983">
        <v>0</v>
      </c>
      <c r="AF257" s="983">
        <v>0</v>
      </c>
      <c r="AG257" s="983">
        <v>0</v>
      </c>
      <c r="AH257" s="983">
        <v>0</v>
      </c>
      <c r="AI257" s="983">
        <v>0</v>
      </c>
      <c r="AJ257" s="983">
        <v>0</v>
      </c>
      <c r="AK257" s="983">
        <v>0</v>
      </c>
      <c r="AL257" s="983">
        <v>0</v>
      </c>
      <c r="AM257" s="983">
        <v>0</v>
      </c>
      <c r="AN257" s="961"/>
      <c r="AO257" s="961"/>
      <c r="AP257" s="961"/>
      <c r="AQ257" s="961"/>
      <c r="AR257" s="961"/>
      <c r="AS257" s="961"/>
      <c r="AT257" s="961"/>
      <c r="AU257" s="961"/>
      <c r="AV257" s="961"/>
      <c r="AW257" s="961"/>
      <c r="AX257" s="796"/>
      <c r="AY257" s="796"/>
      <c r="AZ257" s="796"/>
      <c r="BA257" s="927"/>
    </row>
    <row r="258" spans="1:53" ht="11.4">
      <c r="A258" s="809">
        <v>2</v>
      </c>
      <c r="B258" s="927"/>
      <c r="C258" s="927"/>
      <c r="D258" s="927" t="s">
        <v>1494</v>
      </c>
      <c r="E258" s="927"/>
      <c r="F258" s="927"/>
      <c r="G258" s="927"/>
      <c r="H258" s="927"/>
      <c r="I258" s="927"/>
      <c r="J258" s="927"/>
      <c r="K258" s="927"/>
      <c r="L258" s="953" t="s">
        <v>1495</v>
      </c>
      <c r="M258" s="954" t="s">
        <v>656</v>
      </c>
      <c r="N258" s="955" t="s">
        <v>137</v>
      </c>
      <c r="O258" s="985">
        <v>103.48027220927951</v>
      </c>
      <c r="P258" s="985">
        <v>218.2684489245037</v>
      </c>
      <c r="Q258" s="985">
        <v>56.981358910017434</v>
      </c>
      <c r="R258" s="961"/>
      <c r="S258" s="985">
        <v>99.999266562396315</v>
      </c>
      <c r="T258" s="985">
        <v>151.55925155925155</v>
      </c>
      <c r="U258" s="985">
        <v>0</v>
      </c>
      <c r="V258" s="985">
        <v>0</v>
      </c>
      <c r="W258" s="985">
        <v>0</v>
      </c>
      <c r="X258" s="985">
        <v>0</v>
      </c>
      <c r="Y258" s="985">
        <v>0</v>
      </c>
      <c r="Z258" s="985">
        <v>0</v>
      </c>
      <c r="AA258" s="985">
        <v>0</v>
      </c>
      <c r="AB258" s="985">
        <v>0</v>
      </c>
      <c r="AC258" s="985">
        <v>0</v>
      </c>
      <c r="AD258" s="985">
        <v>100.41244470155041</v>
      </c>
      <c r="AE258" s="985">
        <v>0</v>
      </c>
      <c r="AF258" s="985">
        <v>0</v>
      </c>
      <c r="AG258" s="985">
        <v>0</v>
      </c>
      <c r="AH258" s="985">
        <v>0</v>
      </c>
      <c r="AI258" s="985">
        <v>0</v>
      </c>
      <c r="AJ258" s="985">
        <v>0</v>
      </c>
      <c r="AK258" s="985">
        <v>0</v>
      </c>
      <c r="AL258" s="985">
        <v>0</v>
      </c>
      <c r="AM258" s="985">
        <v>0</v>
      </c>
      <c r="AN258" s="961"/>
      <c r="AO258" s="961"/>
      <c r="AP258" s="961"/>
      <c r="AQ258" s="961"/>
      <c r="AR258" s="961"/>
      <c r="AS258" s="961"/>
      <c r="AT258" s="961"/>
      <c r="AU258" s="961"/>
      <c r="AV258" s="961"/>
      <c r="AW258" s="961"/>
      <c r="AX258" s="796"/>
      <c r="AY258" s="796"/>
      <c r="AZ258" s="796"/>
      <c r="BA258" s="927"/>
    </row>
    <row r="259" spans="1:53" ht="11.4">
      <c r="A259" s="809">
        <v>2</v>
      </c>
      <c r="B259" s="927"/>
      <c r="C259" s="927"/>
      <c r="D259" s="927" t="s">
        <v>1496</v>
      </c>
      <c r="E259" s="927"/>
      <c r="F259" s="927"/>
      <c r="G259" s="927"/>
      <c r="H259" s="927"/>
      <c r="I259" s="927"/>
      <c r="J259" s="927"/>
      <c r="K259" s="927"/>
      <c r="L259" s="953" t="s">
        <v>1497</v>
      </c>
      <c r="M259" s="954" t="s">
        <v>657</v>
      </c>
      <c r="N259" s="955" t="s">
        <v>655</v>
      </c>
      <c r="O259" s="983">
        <v>2.1670648990288264</v>
      </c>
      <c r="P259" s="983">
        <v>3.3895589810459645</v>
      </c>
      <c r="Q259" s="983">
        <v>1.6718514723916855</v>
      </c>
      <c r="R259" s="961">
        <v>-1.717707508654279</v>
      </c>
      <c r="S259" s="983">
        <v>2.3799907507322335</v>
      </c>
      <c r="T259" s="983">
        <v>6.0043618176178652</v>
      </c>
      <c r="U259" s="983">
        <v>0</v>
      </c>
      <c r="V259" s="983">
        <v>0</v>
      </c>
      <c r="W259" s="983">
        <v>0</v>
      </c>
      <c r="X259" s="983">
        <v>0</v>
      </c>
      <c r="Y259" s="983">
        <v>0</v>
      </c>
      <c r="Z259" s="983">
        <v>0</v>
      </c>
      <c r="AA259" s="983">
        <v>0</v>
      </c>
      <c r="AB259" s="983">
        <v>0</v>
      </c>
      <c r="AC259" s="983">
        <v>0</v>
      </c>
      <c r="AD259" s="983">
        <v>2.3847103753101728</v>
      </c>
      <c r="AE259" s="983">
        <v>0</v>
      </c>
      <c r="AF259" s="983">
        <v>0</v>
      </c>
      <c r="AG259" s="983">
        <v>0</v>
      </c>
      <c r="AH259" s="983">
        <v>0</v>
      </c>
      <c r="AI259" s="983">
        <v>0</v>
      </c>
      <c r="AJ259" s="983">
        <v>0</v>
      </c>
      <c r="AK259" s="983">
        <v>0</v>
      </c>
      <c r="AL259" s="983">
        <v>0</v>
      </c>
      <c r="AM259" s="983">
        <v>0</v>
      </c>
      <c r="AN259" s="961"/>
      <c r="AO259" s="961"/>
      <c r="AP259" s="961"/>
      <c r="AQ259" s="961"/>
      <c r="AR259" s="961"/>
      <c r="AS259" s="961"/>
      <c r="AT259" s="961"/>
      <c r="AU259" s="961"/>
      <c r="AV259" s="961"/>
      <c r="AW259" s="961"/>
      <c r="AX259" s="796"/>
      <c r="AY259" s="796"/>
      <c r="AZ259" s="796"/>
      <c r="BA259" s="927"/>
    </row>
    <row r="260" spans="1:53" s="109" customFormat="1" ht="11.4">
      <c r="A260" s="809">
        <v>2</v>
      </c>
      <c r="B260" s="968"/>
      <c r="C260" s="927"/>
      <c r="D260" s="927" t="s">
        <v>1498</v>
      </c>
      <c r="E260" s="968"/>
      <c r="F260" s="968"/>
      <c r="G260" s="968"/>
      <c r="H260" s="968"/>
      <c r="I260" s="968"/>
      <c r="J260" s="968"/>
      <c r="K260" s="968"/>
      <c r="L260" s="969" t="s">
        <v>130</v>
      </c>
      <c r="M260" s="975" t="s">
        <v>1307</v>
      </c>
      <c r="N260" s="971" t="s">
        <v>352</v>
      </c>
      <c r="O260" s="979">
        <v>0</v>
      </c>
      <c r="P260" s="979">
        <v>0</v>
      </c>
      <c r="Q260" s="979">
        <v>0</v>
      </c>
      <c r="R260" s="950">
        <v>0</v>
      </c>
      <c r="S260" s="979">
        <v>0</v>
      </c>
      <c r="T260" s="979">
        <v>0</v>
      </c>
      <c r="U260" s="979">
        <v>0</v>
      </c>
      <c r="V260" s="979">
        <v>0</v>
      </c>
      <c r="W260" s="979">
        <v>0</v>
      </c>
      <c r="X260" s="979">
        <v>0</v>
      </c>
      <c r="Y260" s="979">
        <v>0</v>
      </c>
      <c r="Z260" s="979">
        <v>0</v>
      </c>
      <c r="AA260" s="979">
        <v>0</v>
      </c>
      <c r="AB260" s="979">
        <v>0</v>
      </c>
      <c r="AC260" s="979">
        <v>0</v>
      </c>
      <c r="AD260" s="979">
        <v>0</v>
      </c>
      <c r="AE260" s="979">
        <v>0</v>
      </c>
      <c r="AF260" s="979">
        <v>0</v>
      </c>
      <c r="AG260" s="979">
        <v>0</v>
      </c>
      <c r="AH260" s="979">
        <v>0</v>
      </c>
      <c r="AI260" s="979">
        <v>0</v>
      </c>
      <c r="AJ260" s="979">
        <v>0</v>
      </c>
      <c r="AK260" s="979">
        <v>0</v>
      </c>
      <c r="AL260" s="979">
        <v>0</v>
      </c>
      <c r="AM260" s="979">
        <v>0</v>
      </c>
      <c r="AN260" s="950">
        <v>0</v>
      </c>
      <c r="AO260" s="950">
        <v>0</v>
      </c>
      <c r="AP260" s="950">
        <v>0</v>
      </c>
      <c r="AQ260" s="950">
        <v>0</v>
      </c>
      <c r="AR260" s="950">
        <v>0</v>
      </c>
      <c r="AS260" s="950">
        <v>0</v>
      </c>
      <c r="AT260" s="950">
        <v>0</v>
      </c>
      <c r="AU260" s="950">
        <v>0</v>
      </c>
      <c r="AV260" s="950">
        <v>0</v>
      </c>
      <c r="AW260" s="950">
        <v>0</v>
      </c>
      <c r="AX260" s="796"/>
      <c r="AY260" s="796"/>
      <c r="AZ260" s="796"/>
      <c r="BA260" s="968"/>
    </row>
    <row r="261" spans="1:53" s="109" customFormat="1" ht="11.4">
      <c r="A261" s="809">
        <v>2</v>
      </c>
      <c r="B261" s="927" t="s">
        <v>1185</v>
      </c>
      <c r="C261" s="927"/>
      <c r="D261" s="927" t="s">
        <v>1499</v>
      </c>
      <c r="E261" s="968"/>
      <c r="F261" s="968"/>
      <c r="G261" s="968"/>
      <c r="H261" s="968"/>
      <c r="I261" s="968"/>
      <c r="J261" s="968"/>
      <c r="K261" s="968"/>
      <c r="L261" s="969" t="s">
        <v>131</v>
      </c>
      <c r="M261" s="975" t="s">
        <v>658</v>
      </c>
      <c r="N261" s="971" t="s">
        <v>311</v>
      </c>
      <c r="O261" s="981">
        <v>0</v>
      </c>
      <c r="P261" s="981">
        <v>0</v>
      </c>
      <c r="Q261" s="981">
        <v>0</v>
      </c>
      <c r="R261" s="981">
        <v>0</v>
      </c>
      <c r="S261" s="981">
        <v>0</v>
      </c>
      <c r="T261" s="981">
        <v>0</v>
      </c>
      <c r="U261" s="981">
        <v>0</v>
      </c>
      <c r="V261" s="981">
        <v>0</v>
      </c>
      <c r="W261" s="981">
        <v>0</v>
      </c>
      <c r="X261" s="981">
        <v>0</v>
      </c>
      <c r="Y261" s="981">
        <v>0</v>
      </c>
      <c r="Z261" s="981">
        <v>0</v>
      </c>
      <c r="AA261" s="981">
        <v>0</v>
      </c>
      <c r="AB261" s="981">
        <v>0</v>
      </c>
      <c r="AC261" s="981">
        <v>0</v>
      </c>
      <c r="AD261" s="981">
        <v>0</v>
      </c>
      <c r="AE261" s="981">
        <v>0</v>
      </c>
      <c r="AF261" s="981">
        <v>0</v>
      </c>
      <c r="AG261" s="981">
        <v>0</v>
      </c>
      <c r="AH261" s="981">
        <v>0</v>
      </c>
      <c r="AI261" s="981">
        <v>0</v>
      </c>
      <c r="AJ261" s="981">
        <v>0</v>
      </c>
      <c r="AK261" s="981">
        <v>0</v>
      </c>
      <c r="AL261" s="981">
        <v>0</v>
      </c>
      <c r="AM261" s="981">
        <v>0</v>
      </c>
      <c r="AN261" s="950"/>
      <c r="AO261" s="950"/>
      <c r="AP261" s="950"/>
      <c r="AQ261" s="950"/>
      <c r="AR261" s="950"/>
      <c r="AS261" s="950"/>
      <c r="AT261" s="950"/>
      <c r="AU261" s="950"/>
      <c r="AV261" s="950"/>
      <c r="AW261" s="950"/>
      <c r="AX261" s="796"/>
      <c r="AY261" s="796"/>
      <c r="AZ261" s="796"/>
      <c r="BA261" s="968"/>
    </row>
    <row r="262" spans="1:53" ht="11.4">
      <c r="A262" s="809">
        <v>2</v>
      </c>
      <c r="B262" s="927" t="s">
        <v>1182</v>
      </c>
      <c r="C262" s="927"/>
      <c r="D262" s="927" t="s">
        <v>1500</v>
      </c>
      <c r="E262" s="927"/>
      <c r="F262" s="927"/>
      <c r="G262" s="927"/>
      <c r="H262" s="927"/>
      <c r="I262" s="927"/>
      <c r="J262" s="927"/>
      <c r="K262" s="927"/>
      <c r="L262" s="986" t="s">
        <v>1501</v>
      </c>
      <c r="M262" s="978" t="s">
        <v>1169</v>
      </c>
      <c r="N262" s="987" t="s">
        <v>311</v>
      </c>
      <c r="O262" s="982">
        <v>0</v>
      </c>
      <c r="P262" s="982">
        <v>0</v>
      </c>
      <c r="Q262" s="982">
        <v>0</v>
      </c>
      <c r="R262" s="957">
        <v>0</v>
      </c>
      <c r="S262" s="982">
        <v>0</v>
      </c>
      <c r="T262" s="982">
        <v>0</v>
      </c>
      <c r="U262" s="982">
        <v>0</v>
      </c>
      <c r="V262" s="982">
        <v>0</v>
      </c>
      <c r="W262" s="982">
        <v>0</v>
      </c>
      <c r="X262" s="982">
        <v>0</v>
      </c>
      <c r="Y262" s="982">
        <v>0</v>
      </c>
      <c r="Z262" s="982">
        <v>0</v>
      </c>
      <c r="AA262" s="982">
        <v>0</v>
      </c>
      <c r="AB262" s="982">
        <v>0</v>
      </c>
      <c r="AC262" s="982">
        <v>0</v>
      </c>
      <c r="AD262" s="982">
        <v>0</v>
      </c>
      <c r="AE262" s="982">
        <v>0</v>
      </c>
      <c r="AF262" s="982">
        <v>0</v>
      </c>
      <c r="AG262" s="982">
        <v>0</v>
      </c>
      <c r="AH262" s="982">
        <v>0</v>
      </c>
      <c r="AI262" s="982">
        <v>0</v>
      </c>
      <c r="AJ262" s="982">
        <v>0</v>
      </c>
      <c r="AK262" s="982">
        <v>0</v>
      </c>
      <c r="AL262" s="982">
        <v>0</v>
      </c>
      <c r="AM262" s="982">
        <v>0</v>
      </c>
      <c r="AN262" s="961"/>
      <c r="AO262" s="961"/>
      <c r="AP262" s="961"/>
      <c r="AQ262" s="961"/>
      <c r="AR262" s="961"/>
      <c r="AS262" s="961"/>
      <c r="AT262" s="961"/>
      <c r="AU262" s="961"/>
      <c r="AV262" s="961"/>
      <c r="AW262" s="961"/>
      <c r="AX262" s="796"/>
      <c r="AY262" s="796"/>
      <c r="AZ262" s="796"/>
      <c r="BA262" s="927"/>
    </row>
    <row r="263" spans="1:53" ht="11.4">
      <c r="A263" s="809">
        <v>2</v>
      </c>
      <c r="B263" s="927" t="s">
        <v>1178</v>
      </c>
      <c r="C263" s="927"/>
      <c r="D263" s="927" t="s">
        <v>1502</v>
      </c>
      <c r="E263" s="927"/>
      <c r="F263" s="927"/>
      <c r="G263" s="927"/>
      <c r="H263" s="927"/>
      <c r="I263" s="927"/>
      <c r="J263" s="927"/>
      <c r="K263" s="927"/>
      <c r="L263" s="986" t="s">
        <v>1503</v>
      </c>
      <c r="M263" s="978" t="s">
        <v>1170</v>
      </c>
      <c r="N263" s="987" t="s">
        <v>655</v>
      </c>
      <c r="O263" s="983">
        <v>0</v>
      </c>
      <c r="P263" s="983">
        <v>0</v>
      </c>
      <c r="Q263" s="983">
        <v>0</v>
      </c>
      <c r="R263" s="961">
        <v>0</v>
      </c>
      <c r="S263" s="983">
        <v>0</v>
      </c>
      <c r="T263" s="983">
        <v>0</v>
      </c>
      <c r="U263" s="983">
        <v>0</v>
      </c>
      <c r="V263" s="983">
        <v>0</v>
      </c>
      <c r="W263" s="983">
        <v>0</v>
      </c>
      <c r="X263" s="983">
        <v>0</v>
      </c>
      <c r="Y263" s="983">
        <v>0</v>
      </c>
      <c r="Z263" s="983">
        <v>0</v>
      </c>
      <c r="AA263" s="983">
        <v>0</v>
      </c>
      <c r="AB263" s="983">
        <v>0</v>
      </c>
      <c r="AC263" s="983">
        <v>0</v>
      </c>
      <c r="AD263" s="983">
        <v>0</v>
      </c>
      <c r="AE263" s="983">
        <v>0</v>
      </c>
      <c r="AF263" s="983">
        <v>0</v>
      </c>
      <c r="AG263" s="983">
        <v>0</v>
      </c>
      <c r="AH263" s="983">
        <v>0</v>
      </c>
      <c r="AI263" s="983">
        <v>0</v>
      </c>
      <c r="AJ263" s="983">
        <v>0</v>
      </c>
      <c r="AK263" s="983">
        <v>0</v>
      </c>
      <c r="AL263" s="983">
        <v>0</v>
      </c>
      <c r="AM263" s="983">
        <v>0</v>
      </c>
      <c r="AN263" s="961"/>
      <c r="AO263" s="961"/>
      <c r="AP263" s="961"/>
      <c r="AQ263" s="961"/>
      <c r="AR263" s="961"/>
      <c r="AS263" s="961"/>
      <c r="AT263" s="961"/>
      <c r="AU263" s="961"/>
      <c r="AV263" s="961"/>
      <c r="AW263" s="961"/>
      <c r="AX263" s="796"/>
      <c r="AY263" s="796"/>
      <c r="AZ263" s="796"/>
      <c r="BA263" s="927"/>
    </row>
    <row r="264" spans="1:53" ht="11.4">
      <c r="A264" s="809">
        <v>2</v>
      </c>
      <c r="B264" s="927" t="s">
        <v>1183</v>
      </c>
      <c r="C264" s="927"/>
      <c r="D264" s="927" t="s">
        <v>1504</v>
      </c>
      <c r="E264" s="927"/>
      <c r="F264" s="927"/>
      <c r="G264" s="927"/>
      <c r="H264" s="927"/>
      <c r="I264" s="927"/>
      <c r="J264" s="927"/>
      <c r="K264" s="927"/>
      <c r="L264" s="986" t="s">
        <v>1505</v>
      </c>
      <c r="M264" s="978" t="s">
        <v>1171</v>
      </c>
      <c r="N264" s="987" t="s">
        <v>311</v>
      </c>
      <c r="O264" s="984">
        <v>0</v>
      </c>
      <c r="P264" s="984">
        <v>0</v>
      </c>
      <c r="Q264" s="984">
        <v>0</v>
      </c>
      <c r="R264" s="957">
        <v>0</v>
      </c>
      <c r="S264" s="984">
        <v>0</v>
      </c>
      <c r="T264" s="984">
        <v>0</v>
      </c>
      <c r="U264" s="984">
        <v>0</v>
      </c>
      <c r="V264" s="984">
        <v>0</v>
      </c>
      <c r="W264" s="984">
        <v>0</v>
      </c>
      <c r="X264" s="984">
        <v>0</v>
      </c>
      <c r="Y264" s="984">
        <v>0</v>
      </c>
      <c r="Z264" s="984">
        <v>0</v>
      </c>
      <c r="AA264" s="984">
        <v>0</v>
      </c>
      <c r="AB264" s="984">
        <v>0</v>
      </c>
      <c r="AC264" s="984">
        <v>0</v>
      </c>
      <c r="AD264" s="984">
        <v>0</v>
      </c>
      <c r="AE264" s="984">
        <v>0</v>
      </c>
      <c r="AF264" s="984">
        <v>0</v>
      </c>
      <c r="AG264" s="984">
        <v>0</v>
      </c>
      <c r="AH264" s="984">
        <v>0</v>
      </c>
      <c r="AI264" s="984">
        <v>0</v>
      </c>
      <c r="AJ264" s="984">
        <v>0</v>
      </c>
      <c r="AK264" s="984">
        <v>0</v>
      </c>
      <c r="AL264" s="984">
        <v>0</v>
      </c>
      <c r="AM264" s="984">
        <v>0</v>
      </c>
      <c r="AN264" s="961"/>
      <c r="AO264" s="961"/>
      <c r="AP264" s="961"/>
      <c r="AQ264" s="961"/>
      <c r="AR264" s="961"/>
      <c r="AS264" s="961"/>
      <c r="AT264" s="961"/>
      <c r="AU264" s="961"/>
      <c r="AV264" s="961"/>
      <c r="AW264" s="961"/>
      <c r="AX264" s="796"/>
      <c r="AY264" s="796"/>
      <c r="AZ264" s="796"/>
      <c r="BA264" s="927"/>
    </row>
    <row r="265" spans="1:53" ht="11.4">
      <c r="A265" s="809">
        <v>2</v>
      </c>
      <c r="B265" s="927" t="s">
        <v>1177</v>
      </c>
      <c r="C265" s="927"/>
      <c r="D265" s="927" t="s">
        <v>1506</v>
      </c>
      <c r="E265" s="927"/>
      <c r="F265" s="927"/>
      <c r="G265" s="927"/>
      <c r="H265" s="927"/>
      <c r="I265" s="927"/>
      <c r="J265" s="927"/>
      <c r="K265" s="927"/>
      <c r="L265" s="986" t="s">
        <v>1507</v>
      </c>
      <c r="M265" s="978" t="s">
        <v>1172</v>
      </c>
      <c r="N265" s="987" t="s">
        <v>655</v>
      </c>
      <c r="O265" s="983">
        <v>0</v>
      </c>
      <c r="P265" s="983">
        <v>0</v>
      </c>
      <c r="Q265" s="983">
        <v>0</v>
      </c>
      <c r="R265" s="961">
        <v>0</v>
      </c>
      <c r="S265" s="983">
        <v>0</v>
      </c>
      <c r="T265" s="983">
        <v>0</v>
      </c>
      <c r="U265" s="983">
        <v>0</v>
      </c>
      <c r="V265" s="983">
        <v>0</v>
      </c>
      <c r="W265" s="983">
        <v>0</v>
      </c>
      <c r="X265" s="983">
        <v>0</v>
      </c>
      <c r="Y265" s="983">
        <v>0</v>
      </c>
      <c r="Z265" s="983">
        <v>0</v>
      </c>
      <c r="AA265" s="983">
        <v>0</v>
      </c>
      <c r="AB265" s="983">
        <v>0</v>
      </c>
      <c r="AC265" s="983">
        <v>0</v>
      </c>
      <c r="AD265" s="983">
        <v>0</v>
      </c>
      <c r="AE265" s="983">
        <v>0</v>
      </c>
      <c r="AF265" s="983">
        <v>0</v>
      </c>
      <c r="AG265" s="983">
        <v>0</v>
      </c>
      <c r="AH265" s="983">
        <v>0</v>
      </c>
      <c r="AI265" s="983">
        <v>0</v>
      </c>
      <c r="AJ265" s="983">
        <v>0</v>
      </c>
      <c r="AK265" s="983">
        <v>0</v>
      </c>
      <c r="AL265" s="983">
        <v>0</v>
      </c>
      <c r="AM265" s="983">
        <v>0</v>
      </c>
      <c r="AN265" s="961"/>
      <c r="AO265" s="961"/>
      <c r="AP265" s="961"/>
      <c r="AQ265" s="961"/>
      <c r="AR265" s="961"/>
      <c r="AS265" s="961"/>
      <c r="AT265" s="961"/>
      <c r="AU265" s="961"/>
      <c r="AV265" s="961"/>
      <c r="AW265" s="961"/>
      <c r="AX265" s="796"/>
      <c r="AY265" s="796"/>
      <c r="AZ265" s="796"/>
      <c r="BA265" s="927"/>
    </row>
    <row r="266" spans="1:53">
      <c r="A266" s="927"/>
      <c r="B266" s="927"/>
      <c r="C266" s="927"/>
      <c r="D266" s="927"/>
      <c r="E266" s="927"/>
      <c r="F266" s="927"/>
      <c r="G266" s="927"/>
      <c r="H266" s="927"/>
      <c r="I266" s="927"/>
      <c r="J266" s="927"/>
      <c r="K266" s="927"/>
      <c r="L266" s="936"/>
      <c r="M266" s="937"/>
      <c r="N266" s="936"/>
      <c r="O266" s="927"/>
      <c r="P266" s="927"/>
      <c r="Q266" s="927"/>
      <c r="R266" s="927"/>
      <c r="S266" s="927"/>
      <c r="T266" s="927"/>
      <c r="U266" s="927"/>
      <c r="V266" s="927"/>
      <c r="W266" s="927"/>
      <c r="X266" s="927"/>
      <c r="Y266" s="927"/>
      <c r="Z266" s="927"/>
      <c r="AA266" s="927"/>
      <c r="AB266" s="927"/>
      <c r="AC266" s="927"/>
      <c r="AD266" s="927"/>
      <c r="AE266" s="927"/>
      <c r="AF266" s="927"/>
      <c r="AG266" s="927"/>
      <c r="AH266" s="927"/>
      <c r="AI266" s="927"/>
      <c r="AJ266" s="927"/>
      <c r="AK266" s="927"/>
      <c r="AL266" s="927"/>
      <c r="AM266" s="927"/>
      <c r="AN266" s="927"/>
      <c r="AO266" s="927"/>
      <c r="AP266" s="927"/>
      <c r="AQ266" s="927"/>
      <c r="AR266" s="927"/>
      <c r="AS266" s="927"/>
      <c r="AT266" s="927"/>
      <c r="AU266" s="927"/>
      <c r="AV266" s="927"/>
      <c r="AW266" s="927"/>
      <c r="AX266" s="927"/>
      <c r="AY266" s="927"/>
      <c r="AZ266" s="927"/>
      <c r="BA266" s="927"/>
    </row>
    <row r="267" spans="1:53" ht="15" customHeight="1">
      <c r="A267" s="927"/>
      <c r="B267" s="927"/>
      <c r="C267" s="927"/>
      <c r="D267" s="927"/>
      <c r="E267" s="927"/>
      <c r="F267" s="927"/>
      <c r="G267" s="927"/>
      <c r="H267" s="927"/>
      <c r="I267" s="927"/>
      <c r="J267" s="927"/>
      <c r="K267" s="927"/>
      <c r="L267" s="1137" t="s">
        <v>1367</v>
      </c>
      <c r="M267" s="1137"/>
      <c r="N267" s="1137"/>
      <c r="O267" s="1137"/>
      <c r="P267" s="1137"/>
      <c r="Q267" s="1137"/>
      <c r="R267" s="1137"/>
      <c r="S267" s="1137"/>
      <c r="T267" s="1137"/>
      <c r="U267" s="1137"/>
      <c r="V267" s="1137"/>
      <c r="W267" s="1137"/>
      <c r="X267" s="1137"/>
      <c r="Y267" s="1137"/>
      <c r="Z267" s="1137"/>
      <c r="AA267" s="1137"/>
      <c r="AB267" s="1137"/>
      <c r="AC267" s="1137"/>
      <c r="AD267" s="1137"/>
      <c r="AE267" s="1137"/>
      <c r="AF267" s="1137"/>
      <c r="AG267" s="1137"/>
      <c r="AH267" s="1137"/>
      <c r="AI267" s="1137"/>
      <c r="AJ267" s="1137"/>
      <c r="AK267" s="1137"/>
      <c r="AL267" s="1137"/>
      <c r="AM267" s="1137"/>
      <c r="AN267" s="1137"/>
      <c r="AO267" s="1137"/>
      <c r="AP267" s="1137"/>
      <c r="AQ267" s="1137"/>
      <c r="AR267" s="1137"/>
      <c r="AS267" s="1137"/>
      <c r="AT267" s="1137"/>
      <c r="AU267" s="1137"/>
      <c r="AV267" s="1137"/>
      <c r="AW267" s="1137"/>
      <c r="AX267" s="1137"/>
      <c r="AY267" s="1137"/>
      <c r="AZ267" s="1137"/>
      <c r="BA267" s="927"/>
    </row>
    <row r="268" spans="1:53" ht="15" customHeight="1">
      <c r="A268" s="927"/>
      <c r="B268" s="927"/>
      <c r="C268" s="927"/>
      <c r="D268" s="927"/>
      <c r="E268" s="927"/>
      <c r="F268" s="927"/>
      <c r="G268" s="927"/>
      <c r="H268" s="927"/>
      <c r="I268" s="927"/>
      <c r="J268" s="927"/>
      <c r="K268" s="662"/>
      <c r="L268" s="1147" t="s">
        <v>2949</v>
      </c>
      <c r="M268" s="1142"/>
      <c r="N268" s="1142"/>
      <c r="O268" s="1142"/>
      <c r="P268" s="1142"/>
      <c r="Q268" s="1142"/>
      <c r="R268" s="1142"/>
      <c r="S268" s="1142"/>
      <c r="T268" s="1142"/>
      <c r="U268" s="1142"/>
      <c r="V268" s="1142"/>
      <c r="W268" s="1142"/>
      <c r="X268" s="1142"/>
      <c r="Y268" s="1142"/>
      <c r="Z268" s="1142"/>
      <c r="AA268" s="1142"/>
      <c r="AB268" s="1142"/>
      <c r="AC268" s="1142"/>
      <c r="AD268" s="1142"/>
      <c r="AE268" s="1142"/>
      <c r="AF268" s="1142"/>
      <c r="AG268" s="1142"/>
      <c r="AH268" s="1142"/>
      <c r="AI268" s="1142"/>
      <c r="AJ268" s="1142"/>
      <c r="AK268" s="1142"/>
      <c r="AL268" s="1142"/>
      <c r="AM268" s="1142"/>
      <c r="AN268" s="1142"/>
      <c r="AO268" s="1142"/>
      <c r="AP268" s="1142"/>
      <c r="AQ268" s="1142"/>
      <c r="AR268" s="1142"/>
      <c r="AS268" s="1142"/>
      <c r="AT268" s="1142"/>
      <c r="AU268" s="1142"/>
      <c r="AV268" s="1142"/>
      <c r="AW268" s="1142"/>
      <c r="AX268" s="1142"/>
      <c r="AY268" s="1142"/>
      <c r="AZ268" s="1142"/>
      <c r="BA268" s="927"/>
    </row>
    <row r="269" spans="1:53" ht="52.8" customHeight="1">
      <c r="A269" s="927"/>
      <c r="B269" s="927"/>
      <c r="C269" s="927"/>
      <c r="D269" s="927"/>
      <c r="E269" s="927"/>
      <c r="F269" s="927"/>
      <c r="G269" s="927"/>
      <c r="H269" s="927"/>
      <c r="I269" s="927"/>
      <c r="J269" s="927"/>
      <c r="K269" s="662" t="s">
        <v>3055</v>
      </c>
      <c r="L269" s="1147" t="s">
        <v>2989</v>
      </c>
      <c r="M269" s="1142"/>
      <c r="N269" s="1142"/>
      <c r="O269" s="1142"/>
      <c r="P269" s="1142"/>
      <c r="Q269" s="1142"/>
      <c r="R269" s="1142"/>
      <c r="S269" s="1142"/>
      <c r="T269" s="1142"/>
      <c r="U269" s="1142"/>
      <c r="V269" s="1142"/>
      <c r="W269" s="1142"/>
      <c r="X269" s="1142"/>
      <c r="Y269" s="1142"/>
      <c r="Z269" s="1142"/>
      <c r="AA269" s="1142"/>
      <c r="AB269" s="1142"/>
      <c r="AC269" s="1142"/>
      <c r="AD269" s="1142"/>
      <c r="AE269" s="1142"/>
      <c r="AF269" s="1142"/>
      <c r="AG269" s="1142"/>
      <c r="AH269" s="1142"/>
      <c r="AI269" s="1142"/>
      <c r="AJ269" s="1142"/>
      <c r="AK269" s="1142"/>
      <c r="AL269" s="1142"/>
      <c r="AM269" s="1142"/>
      <c r="AN269" s="1142"/>
      <c r="AO269" s="1142"/>
      <c r="AP269" s="1142"/>
      <c r="AQ269" s="1142"/>
      <c r="AR269" s="1142"/>
      <c r="AS269" s="1142"/>
      <c r="AT269" s="1142"/>
      <c r="AU269" s="1142"/>
      <c r="AV269" s="1142"/>
      <c r="AW269" s="1142"/>
      <c r="AX269" s="1142"/>
      <c r="AY269" s="1142"/>
      <c r="AZ269" s="1142"/>
      <c r="BA269" s="927"/>
    </row>
    <row r="270" spans="1:53" ht="27" customHeight="1">
      <c r="A270" s="927"/>
      <c r="B270" s="927"/>
      <c r="C270" s="927"/>
      <c r="D270" s="927"/>
      <c r="E270" s="927"/>
      <c r="F270" s="927"/>
      <c r="G270" s="927"/>
      <c r="H270" s="927"/>
      <c r="I270" s="927"/>
      <c r="J270" s="927"/>
      <c r="K270" s="662" t="s">
        <v>3055</v>
      </c>
      <c r="L270" s="1147" t="s">
        <v>2990</v>
      </c>
      <c r="M270" s="1142"/>
      <c r="N270" s="1142"/>
      <c r="O270" s="1142"/>
      <c r="P270" s="1142"/>
      <c r="Q270" s="1142"/>
      <c r="R270" s="1142"/>
      <c r="S270" s="1142"/>
      <c r="T270" s="1142"/>
      <c r="U270" s="1142"/>
      <c r="V270" s="1142"/>
      <c r="W270" s="1142"/>
      <c r="X270" s="1142"/>
      <c r="Y270" s="1142"/>
      <c r="Z270" s="1142"/>
      <c r="AA270" s="1142"/>
      <c r="AB270" s="1142"/>
      <c r="AC270" s="1142"/>
      <c r="AD270" s="1142"/>
      <c r="AE270" s="1142"/>
      <c r="AF270" s="1142"/>
      <c r="AG270" s="1142"/>
      <c r="AH270" s="1142"/>
      <c r="AI270" s="1142"/>
      <c r="AJ270" s="1142"/>
      <c r="AK270" s="1142"/>
      <c r="AL270" s="1142"/>
      <c r="AM270" s="1142"/>
      <c r="AN270" s="1142"/>
      <c r="AO270" s="1142"/>
      <c r="AP270" s="1142"/>
      <c r="AQ270" s="1142"/>
      <c r="AR270" s="1142"/>
      <c r="AS270" s="1142"/>
      <c r="AT270" s="1142"/>
      <c r="AU270" s="1142"/>
      <c r="AV270" s="1142"/>
      <c r="AW270" s="1142"/>
      <c r="AX270" s="1142"/>
      <c r="AY270" s="1142"/>
      <c r="AZ270" s="1142"/>
      <c r="BA270" s="927"/>
    </row>
    <row r="271" spans="1:53" ht="15" customHeight="1">
      <c r="A271" s="927"/>
      <c r="B271" s="927"/>
      <c r="C271" s="927"/>
      <c r="D271" s="927"/>
      <c r="E271" s="927"/>
      <c r="F271" s="927"/>
      <c r="G271" s="927"/>
      <c r="H271" s="927"/>
      <c r="I271" s="927"/>
      <c r="J271" s="927"/>
      <c r="K271" s="662" t="s">
        <v>3055</v>
      </c>
      <c r="L271" s="1139" t="s">
        <v>2950</v>
      </c>
      <c r="M271" s="1142"/>
      <c r="N271" s="1142"/>
      <c r="O271" s="1142"/>
      <c r="P271" s="1142"/>
      <c r="Q271" s="1142"/>
      <c r="R271" s="1142"/>
      <c r="S271" s="1142"/>
      <c r="T271" s="1142"/>
      <c r="U271" s="1142"/>
      <c r="V271" s="1142"/>
      <c r="W271" s="1142"/>
      <c r="X271" s="1142"/>
      <c r="Y271" s="1142"/>
      <c r="Z271" s="1142"/>
      <c r="AA271" s="1142"/>
      <c r="AB271" s="1142"/>
      <c r="AC271" s="1142"/>
      <c r="AD271" s="1142"/>
      <c r="AE271" s="1142"/>
      <c r="AF271" s="1142"/>
      <c r="AG271" s="1142"/>
      <c r="AH271" s="1142"/>
      <c r="AI271" s="1142"/>
      <c r="AJ271" s="1142"/>
      <c r="AK271" s="1142"/>
      <c r="AL271" s="1142"/>
      <c r="AM271" s="1142"/>
      <c r="AN271" s="1142"/>
      <c r="AO271" s="1142"/>
      <c r="AP271" s="1142"/>
      <c r="AQ271" s="1142"/>
      <c r="AR271" s="1142"/>
      <c r="AS271" s="1142"/>
      <c r="AT271" s="1142"/>
      <c r="AU271" s="1142"/>
      <c r="AV271" s="1142"/>
      <c r="AW271" s="1142"/>
      <c r="AX271" s="1142"/>
      <c r="AY271" s="1142"/>
      <c r="AZ271" s="1142"/>
      <c r="BA271" s="927"/>
    </row>
    <row r="272" spans="1:53" ht="45.6" customHeight="1">
      <c r="A272" s="927"/>
      <c r="B272" s="927"/>
      <c r="C272" s="927"/>
      <c r="D272" s="927"/>
      <c r="E272" s="927"/>
      <c r="F272" s="927"/>
      <c r="G272" s="927"/>
      <c r="H272" s="927"/>
      <c r="I272" s="927"/>
      <c r="J272" s="927"/>
      <c r="K272" s="662" t="s">
        <v>3055</v>
      </c>
      <c r="L272" s="1147" t="s">
        <v>2991</v>
      </c>
      <c r="M272" s="1142"/>
      <c r="N272" s="1142"/>
      <c r="O272" s="1142"/>
      <c r="P272" s="1142"/>
      <c r="Q272" s="1142"/>
      <c r="R272" s="1142"/>
      <c r="S272" s="1142"/>
      <c r="T272" s="1142"/>
      <c r="U272" s="1142"/>
      <c r="V272" s="1142"/>
      <c r="W272" s="1142"/>
      <c r="X272" s="1142"/>
      <c r="Y272" s="1142"/>
      <c r="Z272" s="1142"/>
      <c r="AA272" s="1142"/>
      <c r="AB272" s="1142"/>
      <c r="AC272" s="1142"/>
      <c r="AD272" s="1142"/>
      <c r="AE272" s="1142"/>
      <c r="AF272" s="1142"/>
      <c r="AG272" s="1142"/>
      <c r="AH272" s="1142"/>
      <c r="AI272" s="1142"/>
      <c r="AJ272" s="1142"/>
      <c r="AK272" s="1142"/>
      <c r="AL272" s="1142"/>
      <c r="AM272" s="1142"/>
      <c r="AN272" s="1142"/>
      <c r="AO272" s="1142"/>
      <c r="AP272" s="1142"/>
      <c r="AQ272" s="1142"/>
      <c r="AR272" s="1142"/>
      <c r="AS272" s="1142"/>
      <c r="AT272" s="1142"/>
      <c r="AU272" s="1142"/>
      <c r="AV272" s="1142"/>
      <c r="AW272" s="1142"/>
      <c r="AX272" s="1142"/>
      <c r="AY272" s="1142"/>
      <c r="AZ272" s="1142"/>
      <c r="BA272" s="927"/>
    </row>
    <row r="273" spans="1:53" ht="28.8" customHeight="1">
      <c r="A273" s="927"/>
      <c r="B273" s="927"/>
      <c r="C273" s="927"/>
      <c r="D273" s="927"/>
      <c r="E273" s="927"/>
      <c r="F273" s="927"/>
      <c r="G273" s="927"/>
      <c r="H273" s="927"/>
      <c r="I273" s="927"/>
      <c r="J273" s="927"/>
      <c r="K273" s="662" t="s">
        <v>3055</v>
      </c>
      <c r="L273" s="1147" t="s">
        <v>2992</v>
      </c>
      <c r="M273" s="1142"/>
      <c r="N273" s="1142"/>
      <c r="O273" s="1142"/>
      <c r="P273" s="1142"/>
      <c r="Q273" s="1142"/>
      <c r="R273" s="1142"/>
      <c r="S273" s="1142"/>
      <c r="T273" s="1142"/>
      <c r="U273" s="1142"/>
      <c r="V273" s="1142"/>
      <c r="W273" s="1142"/>
      <c r="X273" s="1142"/>
      <c r="Y273" s="1142"/>
      <c r="Z273" s="1142"/>
      <c r="AA273" s="1142"/>
      <c r="AB273" s="1142"/>
      <c r="AC273" s="1142"/>
      <c r="AD273" s="1142"/>
      <c r="AE273" s="1142"/>
      <c r="AF273" s="1142"/>
      <c r="AG273" s="1142"/>
      <c r="AH273" s="1142"/>
      <c r="AI273" s="1142"/>
      <c r="AJ273" s="1142"/>
      <c r="AK273" s="1142"/>
      <c r="AL273" s="1142"/>
      <c r="AM273" s="1142"/>
      <c r="AN273" s="1142"/>
      <c r="AO273" s="1142"/>
      <c r="AP273" s="1142"/>
      <c r="AQ273" s="1142"/>
      <c r="AR273" s="1142"/>
      <c r="AS273" s="1142"/>
      <c r="AT273" s="1142"/>
      <c r="AU273" s="1142"/>
      <c r="AV273" s="1142"/>
      <c r="AW273" s="1142"/>
      <c r="AX273" s="1142"/>
      <c r="AY273" s="1142"/>
      <c r="AZ273" s="1142"/>
      <c r="BA273" s="927"/>
    </row>
  </sheetData>
  <sheetProtection formatColumns="0" formatRows="0" autoFilter="0"/>
  <mergeCells count="14">
    <mergeCell ref="L269:AZ269"/>
    <mergeCell ref="L270:AZ270"/>
    <mergeCell ref="L271:AZ271"/>
    <mergeCell ref="L272:AZ272"/>
    <mergeCell ref="L273:AZ273"/>
    <mergeCell ref="L268:AZ268"/>
    <mergeCell ref="AZ14:AZ15"/>
    <mergeCell ref="AX14:AX15"/>
    <mergeCell ref="AY14:AY15"/>
    <mergeCell ref="L267:AZ267"/>
    <mergeCell ref="L14:L15"/>
    <mergeCell ref="M14:M15"/>
    <mergeCell ref="N14:N15"/>
    <mergeCell ref="AN15:AW15"/>
  </mergeCells>
  <dataValidations count="2">
    <dataValidation type="textLength" operator="lessThanOrEqual" allowBlank="1" showInputMessage="1" showErrorMessage="1" errorTitle="Ошибка" error="Допускается ввод не более 900 символов!" sqref="AX17:AZ65 AX66:AZ140 AX142:AZ190 AX191:AZ265">
      <formula1>900</formula1>
    </dataValidation>
    <dataValidation type="decimal" allowBlank="1" showErrorMessage="1" errorTitle="Ошибка" error="Допускается ввод только действительных чисел!" sqref="O107:Q122 S44:AM50 O86:Q86 O137:Q140 S97:AM99 O97:Q99 O89:Q89 O91:Q95 S91:AM95 S73:AM74 O73:Q74 T52:AM63 T37:AM41 S89:AM89 S86:AM86 AD64:AE64 S54:S63 O27:Q27 O29:Q35 O21:Q23 S21:AM23 O37:Q40 O25:Q25 T25:AM27 O54:Q63 O52:Q52 S129:AM134 O44:Q50 S52 O18:Q18 S18 S107:AM122 O126:Q127 S126:AM127 O129:Q134 T64 S29:AM35 S27 S37:S40 S25 S137:AM140 O232:Q247 S169:AM175 O211:Q211 S262:AM265 S222:AM224 O222:Q224 O214:Q214 O216:Q220 S216:AM220 S198:AM199 O198:Q199 T177:AM188 T162:AM166 S214:AM214 S211:AM211 AD189:AE189 O262:Q265 O152:Q152 O154:Q160 O146:Q148 S146:AM148 O162:Q165 O150:Q150 T150:AM152 O179:Q188 O177:Q177 S254:AM259 O169:Q175 S177 O143:Q143 S143 S232:AM247 O251:Q252 S251:AM252 O254:Q259 T189 S154:AM160 S152 S162:S165 S150 S179:S188">
      <formula1>-9.99999999999999E+23</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60" firstPageNumber="13" fitToWidth="0" fitToHeight="0" orientation="landscape" useFirstPageNumber="1" r:id="rId1"/>
  <headerFooter>
    <oddFooter>&amp;C&amp;A
&amp;P из &amp;N</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FG805"/>
  <sheetViews>
    <sheetView showGridLines="0" zoomScaleNormal="100" workbookViewId="0"/>
  </sheetViews>
  <sheetFormatPr defaultColWidth="9.125" defaultRowHeight="11.4" outlineLevelRow="1"/>
  <cols>
    <col min="1" max="1" width="17.625" style="1" customWidth="1"/>
    <col min="2" max="6" width="9.125" style="1"/>
    <col min="7" max="7" width="66.375" style="1" customWidth="1"/>
    <col min="8" max="8" width="25.375" style="1" customWidth="1"/>
    <col min="9" max="9" width="18" style="1" customWidth="1"/>
    <col min="10" max="10" width="33.875" style="1" customWidth="1"/>
    <col min="11" max="11" width="9.125" style="1"/>
    <col min="12" max="12" width="32.875" style="1" customWidth="1"/>
    <col min="13" max="13" width="59" style="3" customWidth="1"/>
    <col min="14" max="14" width="46.625" style="3" customWidth="1"/>
    <col min="15" max="16" width="9.125" style="3"/>
    <col min="17" max="26" width="9.125" style="1"/>
    <col min="27" max="27" width="9.125" style="5"/>
    <col min="28" max="16384" width="9.125" style="1"/>
  </cols>
  <sheetData>
    <row r="1" spans="1:27" s="131" customFormat="1" ht="30" customHeight="1">
      <c r="A1" s="130" t="s">
        <v>115</v>
      </c>
      <c r="M1" s="132"/>
      <c r="N1" s="132"/>
      <c r="O1" s="132"/>
      <c r="P1" s="132"/>
      <c r="AA1" s="133"/>
    </row>
    <row r="2" spans="1:27">
      <c r="A2" s="134" t="s">
        <v>1006</v>
      </c>
    </row>
    <row r="3" spans="1:27" s="52" customFormat="1" ht="20.399999999999999">
      <c r="A3" s="566"/>
      <c r="C3" s="321"/>
      <c r="D3" s="1156" t="s">
        <v>18</v>
      </c>
      <c r="E3" s="316"/>
      <c r="F3" s="316"/>
      <c r="G3" s="582" t="str">
        <f>"Тариф " &amp; D3</f>
        <v>Тариф 1</v>
      </c>
      <c r="H3" s="583" t="s">
        <v>997</v>
      </c>
      <c r="I3" s="135" t="s">
        <v>265</v>
      </c>
      <c r="J3" s="52" t="str">
        <f>G3 &amp; " (" &amp;H3&amp; ") - " &amp;H5 &amp; IF(H9="",""," (" &amp; H9 &amp; ")")</f>
        <v xml:space="preserve">Тариф 1 (Водоснабжение) - </v>
      </c>
      <c r="K3" s="52">
        <f>H8</f>
        <v>0</v>
      </c>
      <c r="L3" s="289">
        <f>H5</f>
        <v>0</v>
      </c>
      <c r="M3" s="52">
        <f>H9</f>
        <v>0</v>
      </c>
      <c r="N3" s="52">
        <f>H6</f>
        <v>0</v>
      </c>
    </row>
    <row r="4" spans="1:27" s="52" customFormat="1" ht="20.399999999999999">
      <c r="A4" s="566"/>
      <c r="C4" s="321"/>
      <c r="D4" s="1156"/>
      <c r="E4" s="316"/>
      <c r="F4" s="316"/>
      <c r="G4" s="584" t="s">
        <v>1211</v>
      </c>
      <c r="H4" s="585"/>
      <c r="I4" s="301"/>
    </row>
    <row r="5" spans="1:27" s="52" customFormat="1" ht="20.399999999999999">
      <c r="A5" s="566"/>
      <c r="C5" s="321"/>
      <c r="D5" s="1156"/>
      <c r="E5" s="316"/>
      <c r="F5" s="316"/>
      <c r="G5" s="584" t="s">
        <v>244</v>
      </c>
      <c r="H5" s="586"/>
      <c r="I5" s="301"/>
    </row>
    <row r="6" spans="1:27" s="52" customFormat="1" ht="20.399999999999999">
      <c r="A6" s="566"/>
      <c r="C6" s="321"/>
      <c r="D6" s="1156"/>
      <c r="E6" s="316"/>
      <c r="F6" s="316"/>
      <c r="G6" s="584" t="s">
        <v>245</v>
      </c>
      <c r="H6" s="586"/>
      <c r="I6" s="301"/>
    </row>
    <row r="7" spans="1:27" s="52" customFormat="1" ht="20.399999999999999">
      <c r="A7" s="566"/>
      <c r="C7" s="321"/>
      <c r="D7" s="1156"/>
      <c r="E7" s="316"/>
      <c r="F7" s="316"/>
      <c r="G7" s="584" t="s">
        <v>246</v>
      </c>
      <c r="H7" s="585"/>
      <c r="I7" s="302"/>
    </row>
    <row r="8" spans="1:27" s="52" customFormat="1" ht="20.399999999999999">
      <c r="A8" s="566"/>
      <c r="C8" s="321"/>
      <c r="D8" s="1156"/>
      <c r="E8" s="316"/>
      <c r="F8" s="316"/>
      <c r="G8" s="587" t="str">
        <f>IF(H3="Водоотведение","Вид сточных вод","Вид воды")</f>
        <v>Вид воды</v>
      </c>
      <c r="H8" s="586"/>
      <c r="I8" s="301"/>
    </row>
    <row r="9" spans="1:27" s="52" customFormat="1" ht="20.399999999999999">
      <c r="A9" s="566"/>
      <c r="C9" s="502"/>
      <c r="D9" s="1156"/>
      <c r="E9" s="316"/>
      <c r="F9" s="316"/>
      <c r="G9" s="587" t="s">
        <v>1005</v>
      </c>
      <c r="H9" s="568"/>
      <c r="I9" s="301"/>
    </row>
    <row r="10" spans="1:27" s="52" customFormat="1" ht="20.399999999999999">
      <c r="A10" s="566"/>
      <c r="B10" s="52" t="b">
        <f t="shared" ref="B10:B15" si="0">org_declaration="Заявление организации"</f>
        <v>1</v>
      </c>
      <c r="C10" s="321"/>
      <c r="D10" s="1156"/>
      <c r="E10" s="316"/>
      <c r="F10" s="316"/>
      <c r="G10" s="584" t="s">
        <v>247</v>
      </c>
      <c r="H10" s="588"/>
      <c r="I10" s="301"/>
    </row>
    <row r="11" spans="1:27" s="52" customFormat="1" ht="20.399999999999999">
      <c r="A11" s="566"/>
      <c r="B11" s="52" t="b">
        <f t="shared" si="0"/>
        <v>1</v>
      </c>
      <c r="C11" s="321"/>
      <c r="D11" s="1156"/>
      <c r="E11" s="316"/>
      <c r="F11" s="316"/>
      <c r="G11" s="584" t="s">
        <v>248</v>
      </c>
      <c r="H11" s="589"/>
      <c r="I11" s="301"/>
    </row>
    <row r="12" spans="1:27" s="52" customFormat="1" ht="20.399999999999999">
      <c r="A12" s="566"/>
      <c r="B12" s="52" t="b">
        <f t="shared" si="0"/>
        <v>1</v>
      </c>
      <c r="C12" s="321"/>
      <c r="D12" s="1156"/>
      <c r="E12" s="316"/>
      <c r="F12" s="316"/>
      <c r="G12" s="584" t="s">
        <v>1157</v>
      </c>
      <c r="H12" s="588"/>
      <c r="I12" s="301"/>
    </row>
    <row r="13" spans="1:27" s="52" customFormat="1" ht="20.399999999999999">
      <c r="A13" s="566"/>
      <c r="B13" s="52" t="b">
        <f t="shared" si="0"/>
        <v>1</v>
      </c>
      <c r="C13" s="321"/>
      <c r="D13" s="1156"/>
      <c r="E13" s="316"/>
      <c r="F13" s="316"/>
      <c r="G13" s="584" t="s">
        <v>249</v>
      </c>
      <c r="H13" s="590"/>
      <c r="I13" s="301"/>
    </row>
    <row r="14" spans="1:27" s="52" customFormat="1" ht="22.8">
      <c r="A14" s="566"/>
      <c r="B14" s="52" t="b">
        <f t="shared" si="0"/>
        <v>1</v>
      </c>
      <c r="C14" s="321"/>
      <c r="D14" s="1156"/>
      <c r="E14" s="316"/>
      <c r="F14" s="316"/>
      <c r="G14" s="591"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592"/>
      <c r="I14" s="301"/>
    </row>
    <row r="15" spans="1:27" s="52" customFormat="1" ht="20.399999999999999">
      <c r="A15" s="566"/>
      <c r="B15" s="52" t="b">
        <f t="shared" si="0"/>
        <v>1</v>
      </c>
      <c r="C15" s="321"/>
      <c r="D15" s="1156"/>
      <c r="E15" s="316"/>
      <c r="F15" s="316"/>
      <c r="G15" s="584" t="s">
        <v>251</v>
      </c>
      <c r="H15" s="593"/>
      <c r="I15" s="301"/>
    </row>
    <row r="16" spans="1:27" s="484" customFormat="1">
      <c r="A16" s="483" t="s">
        <v>1353</v>
      </c>
      <c r="E16" s="594"/>
      <c r="F16" s="594"/>
      <c r="G16" s="594"/>
      <c r="H16" s="594"/>
      <c r="M16" s="485"/>
      <c r="N16" s="485"/>
      <c r="O16" s="485"/>
      <c r="P16" s="485"/>
      <c r="AA16" s="486"/>
    </row>
    <row r="17" spans="1:27" s="52" customFormat="1" ht="20.399999999999999">
      <c r="A17" s="566"/>
      <c r="C17" s="502"/>
      <c r="D17" s="135" t="s">
        <v>265</v>
      </c>
      <c r="E17" s="1169" t="s">
        <v>208</v>
      </c>
      <c r="F17" s="1169"/>
      <c r="G17" s="1169"/>
      <c r="H17" s="580"/>
      <c r="I17" s="53"/>
      <c r="J17" s="54"/>
    </row>
    <row r="18" spans="1:27" s="484" customFormat="1">
      <c r="A18" s="483" t="s">
        <v>1354</v>
      </c>
      <c r="E18" s="594"/>
      <c r="F18" s="594"/>
      <c r="G18" s="594"/>
      <c r="H18" s="594"/>
      <c r="M18" s="485"/>
      <c r="N18" s="485"/>
      <c r="O18" s="485"/>
      <c r="P18" s="485"/>
      <c r="AA18" s="486"/>
    </row>
    <row r="19" spans="1:27" s="484" customFormat="1">
      <c r="A19" s="483" t="s">
        <v>1355</v>
      </c>
      <c r="E19" s="594"/>
      <c r="F19" s="594"/>
      <c r="G19" s="594"/>
      <c r="H19" s="594"/>
      <c r="M19" s="485"/>
      <c r="N19" s="485"/>
      <c r="O19" s="485"/>
      <c r="P19" s="485"/>
      <c r="AA19" s="486"/>
    </row>
    <row r="20" spans="1:27" s="484" customFormat="1">
      <c r="A20" s="483" t="s">
        <v>1356</v>
      </c>
      <c r="E20" s="594"/>
      <c r="F20" s="594"/>
      <c r="G20" s="594"/>
      <c r="H20" s="594"/>
      <c r="M20" s="485"/>
      <c r="N20" s="485"/>
      <c r="O20" s="485"/>
      <c r="P20" s="485"/>
      <c r="AA20" s="486"/>
    </row>
    <row r="21" spans="1:27" s="52" customFormat="1" ht="20.399999999999999">
      <c r="A21" s="566"/>
      <c r="C21" s="502"/>
      <c r="D21" s="135" t="s">
        <v>265</v>
      </c>
      <c r="E21" s="1170" t="s">
        <v>211</v>
      </c>
      <c r="F21" s="1169" t="s">
        <v>212</v>
      </c>
      <c r="G21" s="1169"/>
      <c r="H21" s="595"/>
      <c r="I21" s="53"/>
    </row>
    <row r="22" spans="1:27" s="52" customFormat="1" ht="20.399999999999999">
      <c r="A22" s="566"/>
      <c r="C22" s="502"/>
      <c r="E22" s="1170"/>
      <c r="F22" s="1169" t="s">
        <v>213</v>
      </c>
      <c r="G22" s="1169"/>
      <c r="H22" s="596"/>
      <c r="I22" s="53"/>
    </row>
    <row r="23" spans="1:27" s="52" customFormat="1" ht="20.399999999999999">
      <c r="A23" s="566"/>
      <c r="C23" s="502"/>
      <c r="E23" s="1170"/>
      <c r="F23" s="1169" t="s">
        <v>214</v>
      </c>
      <c r="G23" s="1169"/>
      <c r="H23" s="595"/>
      <c r="I23" s="53"/>
    </row>
    <row r="24" spans="1:27" s="52" customFormat="1" ht="20.399999999999999">
      <c r="A24" s="566"/>
      <c r="C24" s="502"/>
      <c r="E24" s="1170"/>
      <c r="F24" s="1169" t="s">
        <v>215</v>
      </c>
      <c r="G24" s="1169"/>
      <c r="H24" s="581"/>
      <c r="I24" s="53"/>
    </row>
    <row r="25" spans="1:27" s="52" customFormat="1" ht="20.399999999999999">
      <c r="A25" s="566"/>
      <c r="C25" s="502"/>
      <c r="E25" s="1170"/>
      <c r="F25" s="1169" t="s">
        <v>216</v>
      </c>
      <c r="G25" s="1169"/>
      <c r="H25" s="580"/>
      <c r="I25" s="53"/>
      <c r="J25" s="54"/>
    </row>
    <row r="26" spans="1:27" s="484" customFormat="1">
      <c r="A26" s="483" t="s">
        <v>1357</v>
      </c>
      <c r="E26" s="594"/>
      <c r="F26" s="594"/>
      <c r="G26" s="594"/>
      <c r="H26" s="594"/>
      <c r="M26" s="485"/>
      <c r="N26" s="485"/>
      <c r="O26" s="485"/>
      <c r="P26" s="485"/>
      <c r="AA26" s="486"/>
    </row>
    <row r="27" spans="1:27" s="484" customFormat="1">
      <c r="A27" s="483" t="s">
        <v>1358</v>
      </c>
      <c r="E27" s="594"/>
      <c r="F27" s="594"/>
      <c r="G27" s="594"/>
      <c r="H27" s="594"/>
      <c r="M27" s="485"/>
      <c r="N27" s="485"/>
      <c r="O27" s="485"/>
      <c r="P27" s="485"/>
      <c r="AA27" s="486"/>
    </row>
    <row r="28" spans="1:27" s="52" customFormat="1" ht="20.399999999999999">
      <c r="A28" s="566"/>
      <c r="C28" s="502"/>
      <c r="D28" s="135" t="s">
        <v>265</v>
      </c>
      <c r="E28" s="1170" t="s">
        <v>211</v>
      </c>
      <c r="F28" s="1169" t="s">
        <v>212</v>
      </c>
      <c r="G28" s="1169"/>
      <c r="H28" s="595"/>
      <c r="I28" s="53"/>
    </row>
    <row r="29" spans="1:27" s="52" customFormat="1" ht="20.399999999999999">
      <c r="A29" s="566"/>
      <c r="C29" s="502"/>
      <c r="E29" s="1170"/>
      <c r="F29" s="1169" t="s">
        <v>213</v>
      </c>
      <c r="G29" s="1169"/>
      <c r="H29" s="596"/>
      <c r="I29" s="53"/>
    </row>
    <row r="30" spans="1:27" s="52" customFormat="1" ht="20.399999999999999">
      <c r="A30" s="566"/>
      <c r="C30" s="502"/>
      <c r="E30" s="1170"/>
      <c r="F30" s="1169" t="s">
        <v>214</v>
      </c>
      <c r="G30" s="1169"/>
      <c r="H30" s="595"/>
      <c r="I30" s="53"/>
    </row>
    <row r="31" spans="1:27" s="52" customFormat="1" ht="20.399999999999999">
      <c r="A31" s="566"/>
      <c r="C31" s="502"/>
      <c r="E31" s="1170"/>
      <c r="F31" s="1169" t="s">
        <v>215</v>
      </c>
      <c r="G31" s="1169"/>
      <c r="H31" s="581"/>
      <c r="I31" s="53"/>
    </row>
    <row r="32" spans="1:27" s="52" customFormat="1" ht="20.399999999999999">
      <c r="A32" s="566"/>
      <c r="C32" s="502"/>
      <c r="E32" s="1170"/>
      <c r="F32" s="1169" t="s">
        <v>219</v>
      </c>
      <c r="G32" s="1169"/>
      <c r="H32" s="581"/>
      <c r="I32" s="53"/>
    </row>
    <row r="33" spans="1:27" s="52" customFormat="1" ht="20.399999999999999">
      <c r="A33" s="566"/>
      <c r="C33" s="502"/>
      <c r="E33" s="1170"/>
      <c r="F33" s="1169" t="s">
        <v>220</v>
      </c>
      <c r="G33" s="1169"/>
      <c r="H33" s="581"/>
      <c r="I33" s="53"/>
    </row>
    <row r="34" spans="1:27" s="484" customFormat="1">
      <c r="A34" s="483" t="s">
        <v>1359</v>
      </c>
      <c r="E34" s="594"/>
      <c r="F34" s="594"/>
      <c r="G34" s="594"/>
      <c r="H34" s="594"/>
      <c r="M34" s="485"/>
      <c r="N34" s="485"/>
      <c r="O34" s="485"/>
      <c r="P34" s="485"/>
      <c r="AA34" s="486"/>
    </row>
    <row r="35" spans="1:27" s="52" customFormat="1" ht="20.399999999999999">
      <c r="A35" s="566"/>
      <c r="C35" s="502"/>
      <c r="D35" s="135" t="s">
        <v>265</v>
      </c>
      <c r="E35" s="1170" t="s">
        <v>211</v>
      </c>
      <c r="F35" s="1169" t="s">
        <v>212</v>
      </c>
      <c r="G35" s="1169"/>
      <c r="H35" s="595"/>
      <c r="I35" s="53"/>
    </row>
    <row r="36" spans="1:27" s="52" customFormat="1" ht="20.399999999999999">
      <c r="A36" s="566"/>
      <c r="C36" s="502"/>
      <c r="E36" s="1170"/>
      <c r="F36" s="1169" t="s">
        <v>213</v>
      </c>
      <c r="G36" s="1169"/>
      <c r="H36" s="597"/>
      <c r="I36" s="53"/>
    </row>
    <row r="37" spans="1:27" s="52" customFormat="1" ht="20.399999999999999">
      <c r="A37" s="566"/>
      <c r="C37" s="502"/>
      <c r="E37" s="1170"/>
      <c r="F37" s="1169" t="s">
        <v>214</v>
      </c>
      <c r="G37" s="1169"/>
      <c r="H37" s="595"/>
      <c r="I37" s="53"/>
    </row>
    <row r="38" spans="1:27" s="52" customFormat="1" ht="20.399999999999999">
      <c r="A38" s="566"/>
      <c r="C38" s="502"/>
      <c r="E38" s="1170"/>
      <c r="F38" s="1169" t="s">
        <v>215</v>
      </c>
      <c r="G38" s="1169"/>
      <c r="H38" s="581"/>
      <c r="I38" s="53"/>
    </row>
    <row r="39" spans="1:27" s="52" customFormat="1" ht="20.399999999999999">
      <c r="A39" s="566"/>
      <c r="C39" s="502"/>
      <c r="E39" s="1170"/>
      <c r="F39" s="1169" t="s">
        <v>221</v>
      </c>
      <c r="G39" s="1169"/>
      <c r="H39" s="581"/>
      <c r="I39" s="53"/>
    </row>
    <row r="40" spans="1:27" s="52" customFormat="1" ht="20.399999999999999">
      <c r="A40" s="566"/>
      <c r="C40" s="502"/>
      <c r="E40" s="1170"/>
      <c r="F40" s="1169" t="s">
        <v>1120</v>
      </c>
      <c r="G40" s="1169"/>
      <c r="H40" s="581"/>
      <c r="I40" s="53"/>
    </row>
    <row r="41" spans="1:27" s="484" customFormat="1">
      <c r="A41" s="483" t="s">
        <v>1360</v>
      </c>
      <c r="E41" s="594"/>
      <c r="F41" s="594"/>
      <c r="G41" s="594"/>
      <c r="H41" s="594"/>
      <c r="M41" s="485"/>
      <c r="N41" s="485"/>
      <c r="O41" s="485"/>
      <c r="P41" s="485"/>
      <c r="AA41" s="486"/>
    </row>
    <row r="42" spans="1:27" s="484" customFormat="1" ht="20.399999999999999">
      <c r="A42" s="567"/>
      <c r="E42" s="594"/>
      <c r="F42" s="594"/>
      <c r="G42" s="598"/>
      <c r="H42" s="599"/>
      <c r="I42" s="135" t="s">
        <v>265</v>
      </c>
      <c r="M42" s="485"/>
      <c r="N42" s="485"/>
      <c r="O42" s="485"/>
      <c r="P42" s="485"/>
      <c r="AA42" s="486"/>
    </row>
    <row r="44" spans="1:27" s="131" customFormat="1" ht="30" customHeight="1">
      <c r="A44" s="130" t="s">
        <v>1007</v>
      </c>
      <c r="M44" s="132"/>
      <c r="N44" s="132"/>
      <c r="O44" s="132"/>
      <c r="P44" s="132"/>
      <c r="AA44" s="133"/>
    </row>
    <row r="45" spans="1:27" s="484" customFormat="1">
      <c r="A45" s="483" t="s">
        <v>1008</v>
      </c>
      <c r="M45" s="485"/>
      <c r="N45" s="485"/>
      <c r="O45" s="485"/>
      <c r="P45" s="485"/>
      <c r="AA45" s="486"/>
    </row>
    <row r="46" spans="1:27" s="55" customFormat="1" ht="15" customHeight="1">
      <c r="A46" s="506" t="s">
        <v>18</v>
      </c>
      <c r="D46" s="56"/>
      <c r="E46" s="59"/>
      <c r="F46" s="59"/>
      <c r="G46" s="59"/>
      <c r="H46" s="59"/>
      <c r="I46" s="59"/>
      <c r="J46" s="59"/>
      <c r="K46" s="59"/>
      <c r="L46" s="148" t="str">
        <f>INDEX('Общие сведения'!$J$114:$J$140,MATCH($A46,'Общие сведения'!$D$114:$D$140,0))</f>
        <v>Тариф 1 (Водоотведение) - тариф на транспортировку сточных вод</v>
      </c>
      <c r="M46" s="139"/>
      <c r="N46" s="139"/>
      <c r="O46" s="139"/>
      <c r="P46" s="139"/>
      <c r="Q46" s="139"/>
    </row>
    <row r="47" spans="1:27" s="55" customFormat="1" ht="13.2" outlineLevel="1">
      <c r="A47" s="506" t="str">
        <f>A46</f>
        <v>1</v>
      </c>
      <c r="D47" s="60"/>
      <c r="E47" s="61"/>
      <c r="F47" s="61"/>
      <c r="G47" s="61"/>
      <c r="H47" s="61"/>
      <c r="I47" s="61"/>
      <c r="J47" s="61"/>
      <c r="K47" s="61"/>
      <c r="L47" s="62" t="s">
        <v>18</v>
      </c>
      <c r="M47" s="63"/>
      <c r="N47" s="63"/>
      <c r="O47" s="564"/>
      <c r="P47" s="167"/>
      <c r="Q47" s="167"/>
    </row>
    <row r="48" spans="1:27" s="55" customFormat="1" ht="15" customHeight="1" outlineLevel="1">
      <c r="A48" s="506" t="str">
        <f>A46</f>
        <v>1</v>
      </c>
      <c r="D48" s="56"/>
      <c r="E48" s="57"/>
      <c r="F48" s="57"/>
      <c r="G48" s="57"/>
      <c r="H48" s="57"/>
      <c r="I48" s="57"/>
      <c r="J48" s="57"/>
      <c r="K48" s="57"/>
      <c r="L48" s="140"/>
      <c r="M48" s="304" t="s">
        <v>266</v>
      </c>
      <c r="N48" s="141"/>
      <c r="O48" s="141"/>
      <c r="P48" s="141"/>
      <c r="Q48" s="142"/>
    </row>
    <row r="49" spans="1:28" s="484" customFormat="1">
      <c r="A49" s="483" t="s">
        <v>1009</v>
      </c>
      <c r="M49" s="485"/>
      <c r="N49" s="485"/>
      <c r="O49" s="485"/>
      <c r="P49" s="485"/>
      <c r="Q49" s="485"/>
      <c r="AB49" s="486"/>
    </row>
    <row r="50" spans="1:28" s="55" customFormat="1" ht="13.8" outlineLevel="1">
      <c r="A50" s="506" t="str">
        <f ca="1">OFFSET(A50,-1,0)</f>
        <v>et_List01_mo</v>
      </c>
      <c r="D50" s="60"/>
      <c r="E50" s="61"/>
      <c r="F50" s="61"/>
      <c r="G50" s="61"/>
      <c r="H50" s="61"/>
      <c r="I50" s="61"/>
      <c r="J50" s="61"/>
      <c r="K50" s="135" t="s">
        <v>265</v>
      </c>
      <c r="L50" s="62" t="s">
        <v>18</v>
      </c>
      <c r="M50" s="63"/>
      <c r="N50" s="63"/>
      <c r="O50" s="564"/>
      <c r="P50" s="167"/>
      <c r="Q50" s="167"/>
    </row>
    <row r="51" spans="1:28" s="484" customFormat="1">
      <c r="M51" s="485"/>
      <c r="N51" s="485"/>
      <c r="O51" s="485"/>
      <c r="P51" s="485"/>
      <c r="AA51" s="486"/>
    </row>
    <row r="52" spans="1:28" s="131" customFormat="1" ht="30" customHeight="1">
      <c r="A52" s="130" t="s">
        <v>1013</v>
      </c>
      <c r="M52" s="132"/>
      <c r="N52" s="132"/>
      <c r="O52" s="132"/>
      <c r="P52" s="132"/>
      <c r="AA52" s="133"/>
    </row>
    <row r="53" spans="1:28">
      <c r="A53" s="134" t="s">
        <v>1014</v>
      </c>
    </row>
    <row r="54" spans="1:28" s="65" customFormat="1" ht="15" customHeight="1">
      <c r="A54" s="489" t="s">
        <v>18</v>
      </c>
      <c r="L54" s="148" t="str">
        <f>INDEX('Общие сведения'!$J$114:$J$140,MATCH($A54,'Общие сведения'!$D$114:$D$140,0))</f>
        <v>Тариф 1 (Водоотведение) - тариф на транспортировку сточных вод</v>
      </c>
      <c r="M54" s="144"/>
      <c r="N54" s="139"/>
      <c r="O54" s="139"/>
      <c r="P54" s="139"/>
      <c r="Q54" s="139"/>
      <c r="R54" s="139"/>
      <c r="S54" s="139"/>
    </row>
    <row r="55" spans="1:28" s="65" customFormat="1" ht="15" customHeight="1" outlineLevel="1">
      <c r="A55" s="490" t="str">
        <f t="shared" ref="A55:A61" si="1">A54</f>
        <v>1</v>
      </c>
      <c r="B55" s="65" t="s">
        <v>1406</v>
      </c>
      <c r="C55" s="65" t="s">
        <v>1442</v>
      </c>
      <c r="D55" s="65" t="str">
        <f>M55&amp;"::"&amp;N55</f>
        <v>Водонасосные станции (водозаборные узлы)::ед.</v>
      </c>
      <c r="L55" s="149">
        <v>1</v>
      </c>
      <c r="M55" s="147" t="s">
        <v>270</v>
      </c>
      <c r="N55" s="66" t="s">
        <v>271</v>
      </c>
      <c r="O55" s="154"/>
      <c r="P55" s="153"/>
      <c r="Q55" s="153"/>
      <c r="R55" s="153"/>
      <c r="S55" s="156"/>
    </row>
    <row r="56" spans="1:28" s="65" customFormat="1" ht="15" customHeight="1" outlineLevel="1">
      <c r="A56" s="490" t="str">
        <f t="shared" si="1"/>
        <v>1</v>
      </c>
      <c r="B56" s="65" t="s">
        <v>1406</v>
      </c>
      <c r="C56" s="65" t="s">
        <v>1442</v>
      </c>
      <c r="D56" s="65" t="str">
        <f>M56&amp;"::"&amp;N56</f>
        <v>Скважины::ед.</v>
      </c>
      <c r="L56" s="149">
        <v>2</v>
      </c>
      <c r="M56" s="147" t="s">
        <v>272</v>
      </c>
      <c r="N56" s="66" t="s">
        <v>271</v>
      </c>
      <c r="O56" s="154"/>
      <c r="P56" s="153"/>
      <c r="Q56" s="153"/>
      <c r="R56" s="153"/>
      <c r="S56" s="156"/>
    </row>
    <row r="57" spans="1:28" s="65" customFormat="1" ht="15" customHeight="1" outlineLevel="1">
      <c r="A57" s="490" t="str">
        <f t="shared" si="1"/>
        <v>1</v>
      </c>
      <c r="B57" s="65" t="s">
        <v>1406</v>
      </c>
      <c r="C57" s="65" t="s">
        <v>1442</v>
      </c>
      <c r="D57" s="65" t="str">
        <f>M57&amp;"::"&amp;N57</f>
        <v>Подкачивающие насосные станции::ед.</v>
      </c>
      <c r="L57" s="149">
        <v>3</v>
      </c>
      <c r="M57" s="147" t="s">
        <v>273</v>
      </c>
      <c r="N57" s="66" t="s">
        <v>271</v>
      </c>
      <c r="O57" s="154"/>
      <c r="P57" s="153"/>
      <c r="Q57" s="153"/>
      <c r="R57" s="153"/>
      <c r="S57" s="156"/>
    </row>
    <row r="58" spans="1:28" s="65" customFormat="1" ht="15" customHeight="1" outlineLevel="1">
      <c r="A58" s="490" t="str">
        <f t="shared" si="1"/>
        <v>1</v>
      </c>
      <c r="B58" s="65" t="s">
        <v>1406</v>
      </c>
      <c r="C58" s="65" t="s">
        <v>1442</v>
      </c>
      <c r="D58" s="65" t="str">
        <f>M58&amp;"::"&amp;N58</f>
        <v>Водонапорные башни::ед.</v>
      </c>
      <c r="L58" s="149">
        <v>4</v>
      </c>
      <c r="M58" s="147" t="s">
        <v>274</v>
      </c>
      <c r="N58" s="66" t="s">
        <v>271</v>
      </c>
      <c r="O58" s="154"/>
      <c r="P58" s="153"/>
      <c r="Q58" s="153"/>
      <c r="R58" s="153"/>
      <c r="S58" s="156"/>
    </row>
    <row r="59" spans="1:28" s="65" customFormat="1" ht="15" customHeight="1" outlineLevel="1">
      <c r="A59" s="490" t="str">
        <f t="shared" si="1"/>
        <v>1</v>
      </c>
      <c r="B59" s="65" t="s">
        <v>1406</v>
      </c>
      <c r="C59" s="65" t="s">
        <v>1442</v>
      </c>
      <c r="D59" s="65" t="str">
        <f>M59&amp;"::"&amp;N59</f>
        <v>Водопроводные сети::км</v>
      </c>
      <c r="L59" s="149">
        <v>5</v>
      </c>
      <c r="M59" s="147" t="s">
        <v>275</v>
      </c>
      <c r="N59" s="66" t="s">
        <v>276</v>
      </c>
      <c r="O59" s="155"/>
      <c r="P59" s="151"/>
      <c r="Q59" s="151"/>
      <c r="R59" s="151"/>
      <c r="S59" s="156"/>
    </row>
    <row r="60" spans="1:28" s="65" customFormat="1" ht="15" customHeight="1" outlineLevel="1">
      <c r="A60" s="490" t="str">
        <f t="shared" si="1"/>
        <v>1</v>
      </c>
      <c r="B60" s="65" t="str">
        <f>A60&amp;"pIns"</f>
        <v>1pIns</v>
      </c>
      <c r="L60" s="140"/>
      <c r="M60" s="406" t="s">
        <v>353</v>
      </c>
      <c r="N60" s="141"/>
      <c r="O60" s="141"/>
      <c r="P60" s="141"/>
      <c r="Q60" s="141"/>
      <c r="R60" s="141"/>
      <c r="S60" s="152"/>
    </row>
    <row r="61" spans="1:28" s="65" customFormat="1" ht="15" customHeight="1" outlineLevel="1">
      <c r="A61" s="490" t="str">
        <f t="shared" si="1"/>
        <v>1</v>
      </c>
      <c r="B61" s="65" t="s">
        <v>1438</v>
      </c>
      <c r="C61" s="65" t="s">
        <v>1442</v>
      </c>
      <c r="D61" s="573" t="str">
        <f>M61</f>
        <v>Краткое описание технологического процесса</v>
      </c>
      <c r="L61" s="149"/>
      <c r="M61" s="147" t="s">
        <v>1200</v>
      </c>
      <c r="N61" s="66"/>
      <c r="O61" s="1157"/>
      <c r="P61" s="1158"/>
      <c r="Q61" s="1158"/>
      <c r="R61" s="1158"/>
      <c r="S61" s="1159"/>
    </row>
    <row r="62" spans="1:28">
      <c r="A62" s="134" t="s">
        <v>1015</v>
      </c>
      <c r="B62" s="484"/>
      <c r="C62" s="484"/>
      <c r="D62" s="484"/>
      <c r="E62" s="484"/>
    </row>
    <row r="63" spans="1:28" s="65" customFormat="1" ht="15" customHeight="1">
      <c r="A63" s="489" t="s">
        <v>18</v>
      </c>
      <c r="L63" s="148" t="str">
        <f>INDEX('Общие сведения'!$J$114:$J$140,MATCH($A63,'Общие сведения'!$D$114:$D$140,0))</f>
        <v>Тариф 1 (Водоотведение) - тариф на транспортировку сточных вод</v>
      </c>
      <c r="M63" s="144"/>
      <c r="N63" s="139"/>
      <c r="O63" s="139"/>
      <c r="P63" s="139"/>
      <c r="Q63" s="139"/>
      <c r="R63" s="139"/>
      <c r="S63" s="139"/>
    </row>
    <row r="64" spans="1:28" s="65" customFormat="1" ht="15" customHeight="1" outlineLevel="1">
      <c r="A64" s="490" t="str">
        <f>A63</f>
        <v>1</v>
      </c>
      <c r="B64" s="65" t="s">
        <v>1406</v>
      </c>
      <c r="C64" s="65" t="s">
        <v>1442</v>
      </c>
      <c r="D64" s="65" t="str">
        <f>M64&amp;"::"&amp;N64</f>
        <v>Биологические очистные сооружения::ед.</v>
      </c>
      <c r="L64" s="149">
        <v>1</v>
      </c>
      <c r="M64" s="147" t="s">
        <v>277</v>
      </c>
      <c r="N64" s="66" t="s">
        <v>271</v>
      </c>
      <c r="O64" s="154"/>
      <c r="P64" s="153"/>
      <c r="Q64" s="153"/>
      <c r="R64" s="153"/>
      <c r="S64" s="156"/>
    </row>
    <row r="65" spans="1:42" s="65" customFormat="1" ht="15" customHeight="1" outlineLevel="1">
      <c r="A65" s="490" t="str">
        <f>A64</f>
        <v>1</v>
      </c>
      <c r="B65" s="65" t="s">
        <v>1406</v>
      </c>
      <c r="C65" s="65" t="s">
        <v>1442</v>
      </c>
      <c r="D65" s="65" t="str">
        <f>M65&amp;"::"&amp;N65</f>
        <v>Канализационные насосные станции::ед.</v>
      </c>
      <c r="L65" s="149">
        <v>2</v>
      </c>
      <c r="M65" s="147" t="s">
        <v>278</v>
      </c>
      <c r="N65" s="66" t="s">
        <v>271</v>
      </c>
      <c r="O65" s="154"/>
      <c r="P65" s="153"/>
      <c r="Q65" s="153"/>
      <c r="R65" s="153"/>
      <c r="S65" s="156"/>
    </row>
    <row r="66" spans="1:42" s="65" customFormat="1" ht="15" customHeight="1" outlineLevel="1">
      <c r="A66" s="490" t="str">
        <f>A65</f>
        <v>1</v>
      </c>
      <c r="B66" s="65" t="s">
        <v>1406</v>
      </c>
      <c r="C66" s="65" t="s">
        <v>1442</v>
      </c>
      <c r="D66" s="65" t="str">
        <f>M66&amp;"::"&amp;N66</f>
        <v>Канализационные сети::км</v>
      </c>
      <c r="L66" s="149">
        <v>3</v>
      </c>
      <c r="M66" s="147" t="s">
        <v>279</v>
      </c>
      <c r="N66" s="66" t="s">
        <v>276</v>
      </c>
      <c r="O66" s="155"/>
      <c r="P66" s="151"/>
      <c r="Q66" s="151"/>
      <c r="R66" s="151"/>
      <c r="S66" s="156"/>
    </row>
    <row r="67" spans="1:42" s="65" customFormat="1" ht="15" customHeight="1" outlineLevel="1">
      <c r="A67" s="490" t="str">
        <f>A66</f>
        <v>1</v>
      </c>
      <c r="B67" s="65" t="str">
        <f>A67&amp;"pIns"</f>
        <v>1pIns</v>
      </c>
      <c r="L67" s="140"/>
      <c r="M67" s="406" t="s">
        <v>353</v>
      </c>
      <c r="N67" s="141"/>
      <c r="O67" s="141"/>
      <c r="P67" s="141"/>
      <c r="Q67" s="141"/>
      <c r="R67" s="141"/>
      <c r="S67" s="152"/>
    </row>
    <row r="68" spans="1:42" s="65" customFormat="1" ht="15" customHeight="1">
      <c r="A68" s="490" t="str">
        <f>A67</f>
        <v>1</v>
      </c>
      <c r="B68" s="65" t="s">
        <v>1438</v>
      </c>
      <c r="C68" s="65" t="s">
        <v>1442</v>
      </c>
      <c r="D68" s="573" t="str">
        <f>M68</f>
        <v>Краткое описание технологического процесса</v>
      </c>
      <c r="L68" s="149"/>
      <c r="M68" s="147" t="s">
        <v>1200</v>
      </c>
      <c r="N68" s="66"/>
      <c r="O68" s="1157"/>
      <c r="P68" s="1158"/>
      <c r="Q68" s="1158"/>
      <c r="R68" s="1158"/>
      <c r="S68" s="1159"/>
    </row>
    <row r="69" spans="1:42">
      <c r="A69" s="134" t="s">
        <v>1017</v>
      </c>
      <c r="B69" s="484"/>
      <c r="C69" s="484"/>
      <c r="D69" s="484"/>
      <c r="E69" s="484"/>
    </row>
    <row r="70" spans="1:42" s="68" customFormat="1" ht="13.8">
      <c r="C70" s="570"/>
      <c r="D70" s="570"/>
      <c r="F70" s="570"/>
      <c r="G70" s="570"/>
      <c r="K70" s="135" t="s">
        <v>265</v>
      </c>
      <c r="L70" s="150"/>
      <c r="M70" s="571" t="str">
        <f>F70&amp;" :: " &amp;G70&amp;" :: " &amp; H70</f>
        <v xml:space="preserve"> ::  :: </v>
      </c>
      <c r="N70" s="571"/>
      <c r="O70" s="571"/>
      <c r="P70" s="572"/>
      <c r="Q70" s="572"/>
      <c r="R70" s="156"/>
      <c r="S70" s="67"/>
    </row>
    <row r="71" spans="1:42">
      <c r="A71" s="134" t="s">
        <v>1203</v>
      </c>
      <c r="B71" s="484"/>
      <c r="C71" s="484"/>
      <c r="D71" s="484"/>
      <c r="E71" s="484"/>
    </row>
    <row r="72" spans="1:42" s="65" customFormat="1" ht="15" customHeight="1" outlineLevel="1">
      <c r="A72" s="489" t="str">
        <f ca="1">OFFSET(B72,-1,-1)</f>
        <v>et_List02_1</v>
      </c>
      <c r="B72" s="65" t="s">
        <v>1406</v>
      </c>
      <c r="C72" s="65" t="s">
        <v>1442</v>
      </c>
      <c r="D72" s="65" t="str">
        <f>M72&amp;"::"&amp;N72</f>
        <v>::</v>
      </c>
      <c r="K72" s="135" t="s">
        <v>265</v>
      </c>
      <c r="L72" s="149">
        <v>1</v>
      </c>
      <c r="M72" s="157"/>
      <c r="N72" s="157"/>
      <c r="O72" s="155"/>
      <c r="P72" s="151"/>
      <c r="Q72" s="151"/>
      <c r="R72" s="151"/>
      <c r="S72" s="156"/>
    </row>
    <row r="73" spans="1:42" s="184" customFormat="1" ht="13.8">
      <c r="A73" s="491"/>
      <c r="K73" s="185"/>
      <c r="L73" s="186"/>
      <c r="M73" s="187"/>
      <c r="N73" s="188"/>
      <c r="O73" s="189"/>
      <c r="P73" s="189"/>
      <c r="Q73" s="189"/>
      <c r="R73" s="187"/>
      <c r="S73" s="187"/>
      <c r="T73" s="190"/>
    </row>
    <row r="74" spans="1:42" s="131" customFormat="1" ht="30" customHeight="1">
      <c r="A74" s="130" t="s">
        <v>1082</v>
      </c>
      <c r="M74" s="132"/>
      <c r="N74" s="132"/>
      <c r="O74" s="132"/>
      <c r="P74" s="132"/>
      <c r="AA74" s="133"/>
    </row>
    <row r="75" spans="1:42">
      <c r="A75" s="134" t="s">
        <v>1119</v>
      </c>
    </row>
    <row r="76" spans="1:42" s="88" customFormat="1">
      <c r="A76" s="489" t="s">
        <v>18</v>
      </c>
      <c r="L76" s="148" t="str">
        <f>INDEX('Общие сведения'!$J$114:$J$140,MATCH($A76,'Общие сведения'!$D$114:$D$140,0))</f>
        <v>Тариф 1 (Водоотведение) - тариф на транспортировку сточных вод</v>
      </c>
      <c r="M76" s="144"/>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96"/>
      <c r="AN76" s="196"/>
      <c r="AO76" s="196"/>
      <c r="AP76" s="196"/>
    </row>
    <row r="77" spans="1:42" s="70" customFormat="1" outlineLevel="1">
      <c r="A77" s="492" t="str">
        <f>A76</f>
        <v>1</v>
      </c>
      <c r="B77" s="70" t="s">
        <v>1199</v>
      </c>
      <c r="L77" s="312"/>
      <c r="M77" s="313" t="s">
        <v>145</v>
      </c>
      <c r="N77" s="314"/>
      <c r="O77" s="314"/>
      <c r="P77" s="314"/>
      <c r="Q77" s="314"/>
      <c r="R77" s="314"/>
      <c r="S77" s="402">
        <f>(1-S78/100)*(1+S79/100)*(1+S81/100)</f>
        <v>1</v>
      </c>
      <c r="T77" s="402">
        <f>(1-T78/100)*(1+T79/100)*(1+T81/100)</f>
        <v>1</v>
      </c>
      <c r="U77" s="402">
        <f>(1-U78/100)*(1+U79/100)*(1+U81/100)</f>
        <v>1</v>
      </c>
      <c r="V77" s="314"/>
      <c r="W77" s="314"/>
      <c r="X77" s="314"/>
      <c r="Y77" s="402">
        <f>(1-Y78/100)*(1+Y79/100)*(1+Y81/100)</f>
        <v>1</v>
      </c>
      <c r="Z77" s="402">
        <f>(1-Z78/100)*(1+Z79/100)*(1+Z81/100)</f>
        <v>1</v>
      </c>
      <c r="AA77" s="402">
        <f>(1-AA78/100)*(1+AA79/100)*(1+AA81/100)</f>
        <v>1</v>
      </c>
      <c r="AB77" s="402">
        <f>(1-AB78/100)*(1+AB79/100)*(1+AB81/100)</f>
        <v>1</v>
      </c>
      <c r="AC77" s="402">
        <f>(1-AC78/100)*(1+AC79/100)*(1+AC81/100)</f>
        <v>1</v>
      </c>
      <c r="AD77" s="402">
        <f t="shared" ref="AD77:AP77" si="2">(1-AD78/100)*(1+AD79/100)*(1+AD81/100)</f>
        <v>1</v>
      </c>
      <c r="AE77" s="402">
        <f t="shared" si="2"/>
        <v>1</v>
      </c>
      <c r="AF77" s="402">
        <f t="shared" si="2"/>
        <v>1</v>
      </c>
      <c r="AG77" s="402">
        <f t="shared" si="2"/>
        <v>1</v>
      </c>
      <c r="AH77" s="402">
        <f t="shared" si="2"/>
        <v>1</v>
      </c>
      <c r="AI77" s="402">
        <f t="shared" si="2"/>
        <v>1</v>
      </c>
      <c r="AJ77" s="402">
        <f t="shared" si="2"/>
        <v>1</v>
      </c>
      <c r="AK77" s="402">
        <f t="shared" si="2"/>
        <v>1</v>
      </c>
      <c r="AL77" s="402">
        <f t="shared" si="2"/>
        <v>1</v>
      </c>
      <c r="AM77" s="402">
        <f t="shared" si="2"/>
        <v>1</v>
      </c>
      <c r="AN77" s="402">
        <f t="shared" si="2"/>
        <v>1</v>
      </c>
      <c r="AO77" s="402">
        <f t="shared" si="2"/>
        <v>1</v>
      </c>
      <c r="AP77" s="402">
        <f t="shared" si="2"/>
        <v>1</v>
      </c>
    </row>
    <row r="78" spans="1:42" s="70" customFormat="1" ht="22.5" customHeight="1" outlineLevel="1">
      <c r="A78" s="492" t="str">
        <f t="shared" ref="A78:A93" si="3">A77</f>
        <v>1</v>
      </c>
      <c r="B78" s="70" t="s">
        <v>1196</v>
      </c>
      <c r="C78" s="70" t="s">
        <v>1407</v>
      </c>
      <c r="L78" s="72">
        <v>1</v>
      </c>
      <c r="M78" s="73" t="s">
        <v>289</v>
      </c>
      <c r="N78" s="75" t="s">
        <v>137</v>
      </c>
      <c r="O78" s="323"/>
      <c r="P78" s="323"/>
      <c r="Q78" s="323"/>
      <c r="R78" s="337"/>
      <c r="S78" s="323"/>
      <c r="T78" s="323"/>
      <c r="U78" s="323"/>
      <c r="V78" s="332">
        <f>IF(S78&lt;&gt;0,U78/S78,0)</f>
        <v>0</v>
      </c>
      <c r="W78" s="328">
        <f>U78-T78</f>
        <v>0</v>
      </c>
      <c r="X78" s="337"/>
      <c r="Y78" s="323"/>
      <c r="Z78" s="323"/>
      <c r="AA78" s="323"/>
      <c r="AB78" s="323"/>
      <c r="AC78" s="323"/>
      <c r="AD78" s="323"/>
      <c r="AE78" s="323"/>
      <c r="AF78" s="323"/>
      <c r="AG78" s="323"/>
      <c r="AH78" s="323"/>
      <c r="AI78" s="323"/>
      <c r="AJ78" s="323"/>
      <c r="AK78" s="323"/>
      <c r="AL78" s="323"/>
      <c r="AM78" s="323"/>
      <c r="AN78" s="323"/>
      <c r="AO78" s="323"/>
      <c r="AP78" s="323"/>
    </row>
    <row r="79" spans="1:42" s="70" customFormat="1" outlineLevel="1">
      <c r="A79" s="492" t="str">
        <f t="shared" si="3"/>
        <v>1</v>
      </c>
      <c r="B79" s="70" t="s">
        <v>1197</v>
      </c>
      <c r="C79" s="70" t="s">
        <v>1408</v>
      </c>
      <c r="L79" s="72">
        <v>2</v>
      </c>
      <c r="M79" s="74" t="s">
        <v>146</v>
      </c>
      <c r="N79" s="75" t="s">
        <v>137</v>
      </c>
      <c r="O79" s="323"/>
      <c r="P79" s="323"/>
      <c r="Q79" s="323"/>
      <c r="R79" s="337"/>
      <c r="S79" s="323"/>
      <c r="T79" s="323"/>
      <c r="U79" s="323"/>
      <c r="V79" s="332">
        <f>IF(S79&lt;&gt;0,U79/S79,0)</f>
        <v>0</v>
      </c>
      <c r="W79" s="328">
        <f>U79-T79</f>
        <v>0</v>
      </c>
      <c r="X79" s="337"/>
      <c r="Y79" s="323"/>
      <c r="Z79" s="323"/>
      <c r="AA79" s="323"/>
      <c r="AB79" s="323"/>
      <c r="AC79" s="323"/>
      <c r="AD79" s="323"/>
      <c r="AE79" s="323"/>
      <c r="AF79" s="323"/>
      <c r="AG79" s="323"/>
      <c r="AH79" s="323"/>
      <c r="AI79" s="323"/>
      <c r="AJ79" s="323"/>
      <c r="AK79" s="323"/>
      <c r="AL79" s="323"/>
      <c r="AM79" s="323"/>
      <c r="AN79" s="323"/>
      <c r="AO79" s="323"/>
      <c r="AP79" s="323"/>
    </row>
    <row r="80" spans="1:42" s="70" customFormat="1" outlineLevel="1">
      <c r="A80" s="492" t="str">
        <f t="shared" si="3"/>
        <v>1</v>
      </c>
      <c r="C80" s="70" t="s">
        <v>1519</v>
      </c>
      <c r="L80" s="72">
        <v>3</v>
      </c>
      <c r="M80" s="76" t="s">
        <v>290</v>
      </c>
      <c r="N80" s="75" t="s">
        <v>137</v>
      </c>
      <c r="O80" s="323"/>
      <c r="P80" s="323"/>
      <c r="Q80" s="323"/>
      <c r="R80" s="337"/>
      <c r="S80" s="323"/>
      <c r="T80" s="323"/>
      <c r="U80" s="323"/>
      <c r="V80" s="332">
        <f>IF(S80&lt;&gt;0,U80/S80,0)</f>
        <v>0</v>
      </c>
      <c r="W80" s="328">
        <f>U80-T80</f>
        <v>0</v>
      </c>
      <c r="X80" s="337"/>
      <c r="Y80" s="323"/>
      <c r="Z80" s="323"/>
      <c r="AA80" s="323"/>
      <c r="AB80" s="323"/>
      <c r="AC80" s="323"/>
      <c r="AD80" s="323"/>
      <c r="AE80" s="323"/>
      <c r="AF80" s="323"/>
      <c r="AG80" s="323"/>
      <c r="AH80" s="323"/>
      <c r="AI80" s="323"/>
      <c r="AJ80" s="323"/>
      <c r="AK80" s="323"/>
      <c r="AL80" s="323"/>
      <c r="AM80" s="323"/>
      <c r="AN80" s="323"/>
      <c r="AO80" s="323"/>
      <c r="AP80" s="323"/>
    </row>
    <row r="81" spans="1:42" s="70" customFormat="1" outlineLevel="1">
      <c r="A81" s="492" t="str">
        <f t="shared" si="3"/>
        <v>1</v>
      </c>
      <c r="B81" s="70" t="s">
        <v>1198</v>
      </c>
      <c r="C81" s="70" t="s">
        <v>1527</v>
      </c>
      <c r="L81" s="72">
        <v>4</v>
      </c>
      <c r="M81" s="74" t="s">
        <v>291</v>
      </c>
      <c r="N81" s="75" t="s">
        <v>137</v>
      </c>
      <c r="O81" s="323"/>
      <c r="P81" s="325"/>
      <c r="Q81" s="330"/>
      <c r="R81" s="337"/>
      <c r="S81" s="323"/>
      <c r="T81" s="325"/>
      <c r="U81" s="325"/>
      <c r="V81" s="332">
        <f>IF(S81&lt;&gt;0,U81/S81,0)</f>
        <v>0</v>
      </c>
      <c r="W81" s="328">
        <f>U81-T81</f>
        <v>0</v>
      </c>
      <c r="X81" s="337"/>
      <c r="Y81" s="323"/>
      <c r="Z81" s="323"/>
      <c r="AA81" s="323"/>
      <c r="AB81" s="323"/>
      <c r="AC81" s="323"/>
      <c r="AD81" s="323"/>
      <c r="AE81" s="323"/>
      <c r="AF81" s="323"/>
      <c r="AG81" s="323"/>
      <c r="AH81" s="323"/>
      <c r="AI81" s="323"/>
      <c r="AJ81" s="323"/>
      <c r="AK81" s="323"/>
      <c r="AL81" s="323"/>
      <c r="AM81" s="323"/>
      <c r="AN81" s="323"/>
      <c r="AO81" s="323"/>
      <c r="AP81" s="323"/>
    </row>
    <row r="82" spans="1:42" s="70" customFormat="1" outlineLevel="1">
      <c r="A82" s="492" t="str">
        <f t="shared" si="3"/>
        <v>1</v>
      </c>
      <c r="L82" s="312"/>
      <c r="M82" s="313" t="s">
        <v>292</v>
      </c>
      <c r="N82" s="314"/>
      <c r="O82" s="324"/>
      <c r="P82" s="324"/>
      <c r="Q82" s="324"/>
      <c r="R82" s="315"/>
      <c r="S82" s="324"/>
      <c r="T82" s="324"/>
      <c r="U82" s="324"/>
      <c r="V82" s="333"/>
      <c r="W82" s="324"/>
      <c r="X82" s="315"/>
      <c r="Y82" s="324"/>
      <c r="Z82" s="324"/>
      <c r="AA82" s="324"/>
      <c r="AB82" s="324"/>
      <c r="AC82" s="324"/>
      <c r="AD82" s="324"/>
      <c r="AE82" s="324"/>
      <c r="AF82" s="324"/>
      <c r="AG82" s="324"/>
      <c r="AH82" s="324"/>
      <c r="AI82" s="324"/>
      <c r="AJ82" s="324"/>
      <c r="AK82" s="324"/>
      <c r="AL82" s="324"/>
      <c r="AM82" s="324"/>
      <c r="AN82" s="324"/>
      <c r="AO82" s="324"/>
      <c r="AP82" s="335"/>
    </row>
    <row r="83" spans="1:42" s="70" customFormat="1" outlineLevel="1">
      <c r="A83" s="492" t="str">
        <f t="shared" si="3"/>
        <v>1</v>
      </c>
      <c r="B83" s="70" t="s">
        <v>1201</v>
      </c>
      <c r="C83" s="70" t="s">
        <v>1439</v>
      </c>
      <c r="L83" s="72">
        <v>1</v>
      </c>
      <c r="M83" s="74" t="s">
        <v>293</v>
      </c>
      <c r="N83" s="75" t="s">
        <v>137</v>
      </c>
      <c r="O83" s="325"/>
      <c r="P83" s="323"/>
      <c r="Q83" s="323"/>
      <c r="R83" s="337"/>
      <c r="S83" s="325"/>
      <c r="T83" s="323"/>
      <c r="U83" s="323"/>
      <c r="V83" s="332">
        <f>IF(S83&lt;&gt;0,U83/S83,0)</f>
        <v>0</v>
      </c>
      <c r="W83" s="328">
        <f>U83-T83</f>
        <v>0</v>
      </c>
      <c r="X83" s="337"/>
      <c r="Y83" s="325"/>
      <c r="Z83" s="325"/>
      <c r="AA83" s="325"/>
      <c r="AB83" s="325"/>
      <c r="AC83" s="325"/>
      <c r="AD83" s="325"/>
      <c r="AE83" s="325"/>
      <c r="AF83" s="325"/>
      <c r="AG83" s="325"/>
      <c r="AH83" s="325"/>
      <c r="AI83" s="325"/>
      <c r="AJ83" s="325"/>
      <c r="AK83" s="325"/>
      <c r="AL83" s="325"/>
      <c r="AM83" s="325"/>
      <c r="AN83" s="325"/>
      <c r="AO83" s="325"/>
      <c r="AP83" s="325"/>
    </row>
    <row r="84" spans="1:42" s="70" customFormat="1" outlineLevel="1">
      <c r="A84" s="492" t="str">
        <f t="shared" si="3"/>
        <v>1</v>
      </c>
      <c r="C84" s="70" t="s">
        <v>1576</v>
      </c>
      <c r="L84" s="72">
        <v>2</v>
      </c>
      <c r="M84" s="74" t="s">
        <v>294</v>
      </c>
      <c r="N84" s="75" t="s">
        <v>137</v>
      </c>
      <c r="O84" s="325"/>
      <c r="P84" s="323"/>
      <c r="Q84" s="325"/>
      <c r="R84" s="337"/>
      <c r="S84" s="325"/>
      <c r="T84" s="325"/>
      <c r="U84" s="325"/>
      <c r="V84" s="332">
        <f t="shared" ref="V84:V93" si="4">IF(S84&lt;&gt;0,U84/S84,0)</f>
        <v>0</v>
      </c>
      <c r="W84" s="328">
        <f t="shared" ref="W84:W93" si="5">U84-T84</f>
        <v>0</v>
      </c>
      <c r="X84" s="337"/>
      <c r="Y84" s="325"/>
      <c r="Z84" s="325"/>
      <c r="AA84" s="325"/>
      <c r="AB84" s="325"/>
      <c r="AC84" s="325"/>
      <c r="AD84" s="325"/>
      <c r="AE84" s="325"/>
      <c r="AF84" s="325"/>
      <c r="AG84" s="325"/>
      <c r="AH84" s="325"/>
      <c r="AI84" s="325"/>
      <c r="AJ84" s="325"/>
      <c r="AK84" s="325"/>
      <c r="AL84" s="325"/>
      <c r="AM84" s="325"/>
      <c r="AN84" s="325"/>
      <c r="AO84" s="325"/>
      <c r="AP84" s="325"/>
    </row>
    <row r="85" spans="1:42" s="70" customFormat="1" outlineLevel="1">
      <c r="A85" s="492" t="str">
        <f t="shared" si="3"/>
        <v>1</v>
      </c>
      <c r="L85" s="160">
        <v>3</v>
      </c>
      <c r="M85" s="161" t="s">
        <v>295</v>
      </c>
      <c r="N85" s="78"/>
      <c r="O85" s="326"/>
      <c r="P85" s="329"/>
      <c r="Q85" s="331"/>
      <c r="R85" s="317"/>
      <c r="S85" s="326"/>
      <c r="T85" s="329"/>
      <c r="U85" s="329"/>
      <c r="V85" s="334"/>
      <c r="W85" s="329"/>
      <c r="X85" s="317"/>
      <c r="Y85" s="326"/>
      <c r="Z85" s="326"/>
      <c r="AA85" s="326"/>
      <c r="AB85" s="326"/>
      <c r="AC85" s="326"/>
      <c r="AD85" s="326"/>
      <c r="AE85" s="326"/>
      <c r="AF85" s="326"/>
      <c r="AG85" s="326"/>
      <c r="AH85" s="326"/>
      <c r="AI85" s="326"/>
      <c r="AJ85" s="326"/>
      <c r="AK85" s="326"/>
      <c r="AL85" s="326"/>
      <c r="AM85" s="326"/>
      <c r="AN85" s="326"/>
      <c r="AO85" s="326"/>
      <c r="AP85" s="326"/>
    </row>
    <row r="86" spans="1:42" s="70" customFormat="1" ht="22.5" customHeight="1" outlineLevel="1">
      <c r="A86" s="492" t="str">
        <f t="shared" si="3"/>
        <v>1</v>
      </c>
      <c r="C86" s="70" t="s">
        <v>1663</v>
      </c>
      <c r="L86" s="162" t="s">
        <v>1018</v>
      </c>
      <c r="M86" s="163" t="s">
        <v>296</v>
      </c>
      <c r="N86" s="78" t="s">
        <v>297</v>
      </c>
      <c r="O86" s="323"/>
      <c r="P86" s="325"/>
      <c r="Q86" s="330"/>
      <c r="R86" s="337"/>
      <c r="S86" s="323"/>
      <c r="T86" s="325"/>
      <c r="U86" s="325"/>
      <c r="V86" s="332">
        <f t="shared" si="4"/>
        <v>0</v>
      </c>
      <c r="W86" s="328">
        <f t="shared" si="5"/>
        <v>0</v>
      </c>
      <c r="X86" s="337"/>
      <c r="Y86" s="323"/>
      <c r="Z86" s="323"/>
      <c r="AA86" s="323"/>
      <c r="AB86" s="323"/>
      <c r="AC86" s="323"/>
      <c r="AD86" s="323"/>
      <c r="AE86" s="323"/>
      <c r="AF86" s="323"/>
      <c r="AG86" s="323"/>
      <c r="AH86" s="323"/>
      <c r="AI86" s="323"/>
      <c r="AJ86" s="323"/>
      <c r="AK86" s="323"/>
      <c r="AL86" s="323"/>
      <c r="AM86" s="323"/>
      <c r="AN86" s="323"/>
      <c r="AO86" s="323"/>
      <c r="AP86" s="323"/>
    </row>
    <row r="87" spans="1:42" s="70" customFormat="1" ht="22.5" customHeight="1" outlineLevel="1">
      <c r="A87" s="492" t="str">
        <f t="shared" si="3"/>
        <v>1</v>
      </c>
      <c r="C87" s="70" t="s">
        <v>1664</v>
      </c>
      <c r="L87" s="162" t="s">
        <v>1019</v>
      </c>
      <c r="M87" s="163" t="s">
        <v>298</v>
      </c>
      <c r="N87" s="78" t="s">
        <v>297</v>
      </c>
      <c r="O87" s="323"/>
      <c r="P87" s="325"/>
      <c r="Q87" s="330"/>
      <c r="R87" s="337"/>
      <c r="S87" s="323"/>
      <c r="T87" s="325"/>
      <c r="U87" s="325"/>
      <c r="V87" s="332">
        <f t="shared" si="4"/>
        <v>0</v>
      </c>
      <c r="W87" s="328">
        <f t="shared" si="5"/>
        <v>0</v>
      </c>
      <c r="X87" s="337"/>
      <c r="Y87" s="323"/>
      <c r="Z87" s="323"/>
      <c r="AA87" s="323"/>
      <c r="AB87" s="323"/>
      <c r="AC87" s="323"/>
      <c r="AD87" s="323"/>
      <c r="AE87" s="323"/>
      <c r="AF87" s="323"/>
      <c r="AG87" s="323"/>
      <c r="AH87" s="323"/>
      <c r="AI87" s="323"/>
      <c r="AJ87" s="323"/>
      <c r="AK87" s="323"/>
      <c r="AL87" s="323"/>
      <c r="AM87" s="323"/>
      <c r="AN87" s="323"/>
      <c r="AO87" s="323"/>
      <c r="AP87" s="323"/>
    </row>
    <row r="88" spans="1:42" s="70" customFormat="1" ht="22.5" customHeight="1" outlineLevel="1">
      <c r="A88" s="492" t="str">
        <f t="shared" si="3"/>
        <v>1</v>
      </c>
      <c r="C88" s="70" t="s">
        <v>1665</v>
      </c>
      <c r="L88" s="162" t="s">
        <v>1020</v>
      </c>
      <c r="M88" s="163" t="s">
        <v>299</v>
      </c>
      <c r="N88" s="78" t="s">
        <v>297</v>
      </c>
      <c r="O88" s="323"/>
      <c r="P88" s="325"/>
      <c r="Q88" s="330"/>
      <c r="R88" s="337"/>
      <c r="S88" s="323"/>
      <c r="T88" s="325"/>
      <c r="U88" s="325"/>
      <c r="V88" s="332">
        <f t="shared" si="4"/>
        <v>0</v>
      </c>
      <c r="W88" s="328">
        <f t="shared" si="5"/>
        <v>0</v>
      </c>
      <c r="X88" s="337"/>
      <c r="Y88" s="323"/>
      <c r="Z88" s="323"/>
      <c r="AA88" s="323"/>
      <c r="AB88" s="323"/>
      <c r="AC88" s="323"/>
      <c r="AD88" s="323"/>
      <c r="AE88" s="323"/>
      <c r="AF88" s="323"/>
      <c r="AG88" s="323"/>
      <c r="AH88" s="323"/>
      <c r="AI88" s="323"/>
      <c r="AJ88" s="323"/>
      <c r="AK88" s="323"/>
      <c r="AL88" s="323"/>
      <c r="AM88" s="323"/>
      <c r="AN88" s="323"/>
      <c r="AO88" s="323"/>
      <c r="AP88" s="323"/>
    </row>
    <row r="89" spans="1:42" s="70" customFormat="1" ht="22.5" customHeight="1" outlineLevel="1">
      <c r="A89" s="492" t="str">
        <f t="shared" si="3"/>
        <v>1</v>
      </c>
      <c r="C89" s="70" t="s">
        <v>1666</v>
      </c>
      <c r="L89" s="162" t="s">
        <v>1021</v>
      </c>
      <c r="M89" s="163" t="s">
        <v>300</v>
      </c>
      <c r="N89" s="78" t="s">
        <v>297</v>
      </c>
      <c r="O89" s="323"/>
      <c r="P89" s="325"/>
      <c r="Q89" s="330"/>
      <c r="R89" s="337"/>
      <c r="S89" s="323"/>
      <c r="T89" s="325"/>
      <c r="U89" s="325"/>
      <c r="V89" s="332">
        <f t="shared" si="4"/>
        <v>0</v>
      </c>
      <c r="W89" s="328">
        <f t="shared" si="5"/>
        <v>0</v>
      </c>
      <c r="X89" s="337"/>
      <c r="Y89" s="323"/>
      <c r="Z89" s="323"/>
      <c r="AA89" s="323"/>
      <c r="AB89" s="323"/>
      <c r="AC89" s="323"/>
      <c r="AD89" s="323"/>
      <c r="AE89" s="323"/>
      <c r="AF89" s="323"/>
      <c r="AG89" s="323"/>
      <c r="AH89" s="323"/>
      <c r="AI89" s="323"/>
      <c r="AJ89" s="323"/>
      <c r="AK89" s="323"/>
      <c r="AL89" s="323"/>
      <c r="AM89" s="323"/>
      <c r="AN89" s="323"/>
      <c r="AO89" s="323"/>
      <c r="AP89" s="323"/>
    </row>
    <row r="90" spans="1:42" s="70" customFormat="1" outlineLevel="1">
      <c r="A90" s="492" t="str">
        <f t="shared" si="3"/>
        <v>1</v>
      </c>
      <c r="C90" s="70" t="s">
        <v>1444</v>
      </c>
      <c r="L90" s="72">
        <v>4</v>
      </c>
      <c r="M90" s="79" t="s">
        <v>301</v>
      </c>
      <c r="N90" s="75" t="s">
        <v>137</v>
      </c>
      <c r="O90" s="323"/>
      <c r="P90" s="325"/>
      <c r="Q90" s="330"/>
      <c r="R90" s="337"/>
      <c r="S90" s="323"/>
      <c r="T90" s="325"/>
      <c r="U90" s="325"/>
      <c r="V90" s="332">
        <f t="shared" si="4"/>
        <v>0</v>
      </c>
      <c r="W90" s="328">
        <f t="shared" si="5"/>
        <v>0</v>
      </c>
      <c r="X90" s="337"/>
      <c r="Y90" s="323"/>
      <c r="Z90" s="323"/>
      <c r="AA90" s="323"/>
      <c r="AB90" s="323"/>
      <c r="AC90" s="323"/>
      <c r="AD90" s="323"/>
      <c r="AE90" s="323"/>
      <c r="AF90" s="323"/>
      <c r="AG90" s="323"/>
      <c r="AH90" s="323"/>
      <c r="AI90" s="323"/>
      <c r="AJ90" s="323"/>
      <c r="AK90" s="323"/>
      <c r="AL90" s="323"/>
      <c r="AM90" s="323"/>
      <c r="AN90" s="323"/>
      <c r="AO90" s="323"/>
      <c r="AP90" s="323"/>
    </row>
    <row r="91" spans="1:42" s="70" customFormat="1" outlineLevel="1">
      <c r="A91" s="492" t="str">
        <f t="shared" si="3"/>
        <v>1</v>
      </c>
      <c r="C91" s="70" t="s">
        <v>1446</v>
      </c>
      <c r="L91" s="72">
        <v>5</v>
      </c>
      <c r="M91" s="79" t="s">
        <v>302</v>
      </c>
      <c r="N91" s="75" t="s">
        <v>137</v>
      </c>
      <c r="O91" s="323"/>
      <c r="P91" s="325"/>
      <c r="Q91" s="330"/>
      <c r="R91" s="337"/>
      <c r="S91" s="323"/>
      <c r="T91" s="325"/>
      <c r="U91" s="325"/>
      <c r="V91" s="332">
        <f t="shared" si="4"/>
        <v>0</v>
      </c>
      <c r="W91" s="328">
        <f t="shared" si="5"/>
        <v>0</v>
      </c>
      <c r="X91" s="337"/>
      <c r="Y91" s="323"/>
      <c r="Z91" s="323"/>
      <c r="AA91" s="323"/>
      <c r="AB91" s="323"/>
      <c r="AC91" s="323"/>
      <c r="AD91" s="323"/>
      <c r="AE91" s="323"/>
      <c r="AF91" s="323"/>
      <c r="AG91" s="323"/>
      <c r="AH91" s="323"/>
      <c r="AI91" s="323"/>
      <c r="AJ91" s="323"/>
      <c r="AK91" s="323"/>
      <c r="AL91" s="323"/>
      <c r="AM91" s="323"/>
      <c r="AN91" s="323"/>
      <c r="AO91" s="323"/>
      <c r="AP91" s="323"/>
    </row>
    <row r="92" spans="1:42" s="80" customFormat="1" outlineLevel="1">
      <c r="A92" s="492" t="str">
        <f t="shared" si="3"/>
        <v>1</v>
      </c>
      <c r="C92" s="80" t="s">
        <v>1448</v>
      </c>
      <c r="L92" s="81" t="s">
        <v>124</v>
      </c>
      <c r="M92" s="77" t="s">
        <v>303</v>
      </c>
      <c r="N92" s="75"/>
      <c r="O92" s="327"/>
      <c r="P92" s="327"/>
      <c r="Q92" s="327"/>
      <c r="R92" s="338"/>
      <c r="S92" s="327"/>
      <c r="T92" s="327"/>
      <c r="U92" s="327"/>
      <c r="V92" s="332">
        <f t="shared" si="4"/>
        <v>0</v>
      </c>
      <c r="W92" s="328">
        <f t="shared" si="5"/>
        <v>0</v>
      </c>
      <c r="X92" s="338"/>
      <c r="Y92" s="327"/>
      <c r="Z92" s="327"/>
      <c r="AA92" s="327"/>
      <c r="AB92" s="327"/>
      <c r="AC92" s="327"/>
      <c r="AD92" s="327"/>
      <c r="AE92" s="327"/>
      <c r="AF92" s="327"/>
      <c r="AG92" s="327"/>
      <c r="AH92" s="327"/>
      <c r="AI92" s="327"/>
      <c r="AJ92" s="327"/>
      <c r="AK92" s="327"/>
      <c r="AL92" s="327"/>
      <c r="AM92" s="327"/>
      <c r="AN92" s="327"/>
      <c r="AO92" s="327"/>
      <c r="AP92" s="327"/>
    </row>
    <row r="93" spans="1:42" s="80" customFormat="1" outlineLevel="1">
      <c r="A93" s="492" t="str">
        <f t="shared" si="3"/>
        <v>1</v>
      </c>
      <c r="C93" s="80" t="s">
        <v>1450</v>
      </c>
      <c r="L93" s="81" t="s">
        <v>125</v>
      </c>
      <c r="M93" s="76" t="s">
        <v>304</v>
      </c>
      <c r="N93" s="75"/>
      <c r="O93" s="327"/>
      <c r="P93" s="327"/>
      <c r="Q93" s="327"/>
      <c r="R93" s="338"/>
      <c r="S93" s="327"/>
      <c r="T93" s="327"/>
      <c r="U93" s="327"/>
      <c r="V93" s="332">
        <f t="shared" si="4"/>
        <v>0</v>
      </c>
      <c r="W93" s="328">
        <f t="shared" si="5"/>
        <v>0</v>
      </c>
      <c r="X93" s="338"/>
      <c r="Y93" s="327"/>
      <c r="Z93" s="327"/>
      <c r="AA93" s="327"/>
      <c r="AB93" s="327"/>
      <c r="AC93" s="327"/>
      <c r="AD93" s="327"/>
      <c r="AE93" s="327"/>
      <c r="AF93" s="327"/>
      <c r="AG93" s="327"/>
      <c r="AH93" s="327"/>
      <c r="AI93" s="327"/>
      <c r="AJ93" s="327"/>
      <c r="AK93" s="327"/>
      <c r="AL93" s="327"/>
      <c r="AM93" s="327"/>
      <c r="AN93" s="327"/>
      <c r="AO93" s="327"/>
      <c r="AP93" s="327"/>
    </row>
    <row r="94" spans="1:42">
      <c r="A94" s="316"/>
      <c r="C94" s="484"/>
    </row>
    <row r="95" spans="1:42" s="131" customFormat="1" ht="30" customHeight="1">
      <c r="A95" s="130" t="s">
        <v>1022</v>
      </c>
      <c r="C95" s="574"/>
      <c r="M95" s="132"/>
      <c r="N95" s="132"/>
      <c r="O95" s="132"/>
      <c r="P95" s="132"/>
      <c r="AA95" s="133"/>
    </row>
    <row r="96" spans="1:42">
      <c r="A96" s="134" t="s">
        <v>1023</v>
      </c>
      <c r="C96" s="484"/>
    </row>
    <row r="97" spans="1:39" s="86" customFormat="1">
      <c r="A97" s="168" t="s">
        <v>18</v>
      </c>
      <c r="L97" s="148" t="str">
        <f>INDEX('Общие сведения'!$J$114:$J$140,MATCH($A97,'Общие сведения'!$D$114:$D$140,0))</f>
        <v>Тариф 1 (Водоотведение) - тариф на транспортировку сточных вод</v>
      </c>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row>
    <row r="98" spans="1:39" s="86" customFormat="1" outlineLevel="1">
      <c r="A98" s="169" t="str">
        <f t="shared" ref="A98:A134" si="6">A97</f>
        <v>1</v>
      </c>
      <c r="L98" s="426" t="s">
        <v>18</v>
      </c>
      <c r="M98" s="428" t="s">
        <v>310</v>
      </c>
      <c r="N98" s="470"/>
      <c r="O98" s="471" t="str">
        <f>INDEX('Общие сведения'!$K$114:$K$140,MATCH($A98,'Общие сведения'!$D$114:$D$140,0))</f>
        <v>поверхностные сточные воды</v>
      </c>
      <c r="P98" s="472"/>
      <c r="Q98" s="472"/>
      <c r="R98" s="472"/>
      <c r="S98" s="472"/>
      <c r="T98" s="472"/>
      <c r="U98" s="472"/>
      <c r="V98" s="472"/>
      <c r="W98" s="472"/>
      <c r="X98" s="472"/>
      <c r="Y98" s="472"/>
      <c r="Z98" s="472"/>
      <c r="AA98" s="472"/>
      <c r="AB98" s="472"/>
      <c r="AC98" s="472"/>
      <c r="AD98" s="472"/>
      <c r="AE98" s="472"/>
      <c r="AF98" s="472"/>
      <c r="AG98" s="472"/>
      <c r="AH98" s="472"/>
      <c r="AI98" s="472"/>
      <c r="AJ98" s="472"/>
      <c r="AK98" s="472"/>
      <c r="AL98" s="473"/>
      <c r="AM98" s="179"/>
    </row>
    <row r="99" spans="1:39" s="86" customFormat="1" outlineLevel="1">
      <c r="A99" s="169" t="str">
        <f t="shared" si="6"/>
        <v>1</v>
      </c>
      <c r="C99" s="86" t="s">
        <v>1438</v>
      </c>
      <c r="L99" s="426" t="s">
        <v>102</v>
      </c>
      <c r="M99" s="427" t="s">
        <v>307</v>
      </c>
      <c r="N99" s="138" t="s">
        <v>308</v>
      </c>
      <c r="O99" s="451"/>
      <c r="P99" s="451"/>
      <c r="Q99" s="451"/>
      <c r="R99" s="451"/>
      <c r="S99" s="451"/>
      <c r="T99" s="451"/>
      <c r="U99" s="451"/>
      <c r="V99" s="451"/>
      <c r="W99" s="451"/>
      <c r="X99" s="451"/>
      <c r="Y99" s="451"/>
      <c r="Z99" s="451"/>
      <c r="AA99" s="451"/>
      <c r="AB99" s="451"/>
      <c r="AC99" s="451"/>
      <c r="AD99" s="451"/>
      <c r="AE99" s="451"/>
      <c r="AF99" s="451"/>
      <c r="AG99" s="451"/>
      <c r="AH99" s="451"/>
      <c r="AI99" s="451"/>
      <c r="AJ99" s="451"/>
      <c r="AK99" s="451"/>
      <c r="AL99" s="451"/>
      <c r="AM99" s="179"/>
    </row>
    <row r="100" spans="1:39" s="86" customFormat="1" outlineLevel="1">
      <c r="A100" s="169" t="str">
        <f t="shared" si="6"/>
        <v>1</v>
      </c>
      <c r="C100" s="86" t="s">
        <v>1442</v>
      </c>
      <c r="L100" s="426" t="s">
        <v>103</v>
      </c>
      <c r="M100" s="427" t="s">
        <v>309</v>
      </c>
      <c r="N100" s="138" t="s">
        <v>308</v>
      </c>
      <c r="O100" s="451"/>
      <c r="P100" s="451"/>
      <c r="Q100" s="451"/>
      <c r="R100" s="451"/>
      <c r="S100" s="451"/>
      <c r="T100" s="451"/>
      <c r="U100" s="451"/>
      <c r="V100" s="451"/>
      <c r="W100" s="451"/>
      <c r="X100" s="451"/>
      <c r="Y100" s="451"/>
      <c r="Z100" s="451"/>
      <c r="AA100" s="451"/>
      <c r="AB100" s="451"/>
      <c r="AC100" s="451"/>
      <c r="AD100" s="451"/>
      <c r="AE100" s="451"/>
      <c r="AF100" s="451"/>
      <c r="AG100" s="451"/>
      <c r="AH100" s="451"/>
      <c r="AI100" s="451"/>
      <c r="AJ100" s="451"/>
      <c r="AK100" s="451"/>
      <c r="AL100" s="451"/>
      <c r="AM100" s="179"/>
    </row>
    <row r="101" spans="1:39" s="86" customFormat="1" outlineLevel="1">
      <c r="A101" s="169" t="str">
        <f t="shared" si="6"/>
        <v>1</v>
      </c>
      <c r="C101" s="86" t="s">
        <v>1444</v>
      </c>
      <c r="L101" s="426">
        <v>4</v>
      </c>
      <c r="M101" s="429" t="s">
        <v>1141</v>
      </c>
      <c r="N101" s="136" t="s">
        <v>311</v>
      </c>
      <c r="O101" s="452">
        <f t="shared" ref="O101:AL101" si="7">O110+O105-O108</f>
        <v>0</v>
      </c>
      <c r="P101" s="452">
        <f t="shared" si="7"/>
        <v>0</v>
      </c>
      <c r="Q101" s="452">
        <f>Q110+Q105-Q108</f>
        <v>0</v>
      </c>
      <c r="R101" s="452">
        <f t="shared" si="7"/>
        <v>0</v>
      </c>
      <c r="S101" s="452">
        <f t="shared" si="7"/>
        <v>0</v>
      </c>
      <c r="T101" s="452">
        <f t="shared" si="7"/>
        <v>0</v>
      </c>
      <c r="U101" s="452">
        <f t="shared" si="7"/>
        <v>0</v>
      </c>
      <c r="V101" s="452">
        <f t="shared" si="7"/>
        <v>0</v>
      </c>
      <c r="W101" s="452">
        <f t="shared" si="7"/>
        <v>0</v>
      </c>
      <c r="X101" s="452">
        <f t="shared" si="7"/>
        <v>0</v>
      </c>
      <c r="Y101" s="452">
        <f t="shared" si="7"/>
        <v>0</v>
      </c>
      <c r="Z101" s="452">
        <f t="shared" si="7"/>
        <v>0</v>
      </c>
      <c r="AA101" s="452">
        <f t="shared" si="7"/>
        <v>0</v>
      </c>
      <c r="AB101" s="452">
        <f t="shared" si="7"/>
        <v>0</v>
      </c>
      <c r="AC101" s="452">
        <f>AC110+AC105-AC108</f>
        <v>0</v>
      </c>
      <c r="AD101" s="452">
        <f t="shared" si="7"/>
        <v>0</v>
      </c>
      <c r="AE101" s="452">
        <f t="shared" si="7"/>
        <v>0</v>
      </c>
      <c r="AF101" s="452">
        <f t="shared" si="7"/>
        <v>0</v>
      </c>
      <c r="AG101" s="452">
        <f t="shared" si="7"/>
        <v>0</v>
      </c>
      <c r="AH101" s="452">
        <f t="shared" si="7"/>
        <v>0</v>
      </c>
      <c r="AI101" s="452">
        <f t="shared" si="7"/>
        <v>0</v>
      </c>
      <c r="AJ101" s="452">
        <f t="shared" si="7"/>
        <v>0</v>
      </c>
      <c r="AK101" s="452">
        <f t="shared" si="7"/>
        <v>0</v>
      </c>
      <c r="AL101" s="452">
        <f t="shared" si="7"/>
        <v>0</v>
      </c>
      <c r="AM101" s="179"/>
    </row>
    <row r="102" spans="1:39" s="86" customFormat="1" outlineLevel="1">
      <c r="A102" s="169" t="str">
        <f t="shared" si="6"/>
        <v>1</v>
      </c>
      <c r="C102" s="86" t="s">
        <v>1598</v>
      </c>
      <c r="L102" s="426" t="s">
        <v>140</v>
      </c>
      <c r="M102" s="163" t="s">
        <v>312</v>
      </c>
      <c r="N102" s="136" t="s">
        <v>311</v>
      </c>
      <c r="O102" s="327"/>
      <c r="P102" s="327"/>
      <c r="Q102" s="327"/>
      <c r="R102" s="327"/>
      <c r="S102" s="327"/>
      <c r="T102" s="327"/>
      <c r="U102" s="327"/>
      <c r="V102" s="327"/>
      <c r="W102" s="327"/>
      <c r="X102" s="327"/>
      <c r="Y102" s="327"/>
      <c r="Z102" s="327"/>
      <c r="AA102" s="327"/>
      <c r="AB102" s="327"/>
      <c r="AC102" s="327"/>
      <c r="AD102" s="327"/>
      <c r="AE102" s="327"/>
      <c r="AF102" s="327"/>
      <c r="AG102" s="327"/>
      <c r="AH102" s="327"/>
      <c r="AI102" s="327"/>
      <c r="AJ102" s="327"/>
      <c r="AK102" s="327"/>
      <c r="AL102" s="327"/>
      <c r="AM102" s="338"/>
    </row>
    <row r="103" spans="1:39" s="86" customFormat="1" outlineLevel="1">
      <c r="A103" s="169" t="str">
        <f t="shared" si="6"/>
        <v>1</v>
      </c>
      <c r="C103" s="86" t="s">
        <v>1619</v>
      </c>
      <c r="L103" s="426" t="s">
        <v>373</v>
      </c>
      <c r="M103" s="163" t="s">
        <v>313</v>
      </c>
      <c r="N103" s="136" t="s">
        <v>311</v>
      </c>
      <c r="O103" s="327"/>
      <c r="P103" s="327"/>
      <c r="Q103" s="327"/>
      <c r="R103" s="327"/>
      <c r="S103" s="327"/>
      <c r="T103" s="327"/>
      <c r="U103" s="327"/>
      <c r="V103" s="327"/>
      <c r="W103" s="327"/>
      <c r="X103" s="327"/>
      <c r="Y103" s="327"/>
      <c r="Z103" s="327"/>
      <c r="AA103" s="327"/>
      <c r="AB103" s="327"/>
      <c r="AC103" s="327"/>
      <c r="AD103" s="327"/>
      <c r="AE103" s="327"/>
      <c r="AF103" s="327"/>
      <c r="AG103" s="327"/>
      <c r="AH103" s="327"/>
      <c r="AI103" s="327"/>
      <c r="AJ103" s="327"/>
      <c r="AK103" s="327"/>
      <c r="AL103" s="327"/>
      <c r="AM103" s="338"/>
    </row>
    <row r="104" spans="1:39" s="86" customFormat="1" ht="22.8" outlineLevel="1">
      <c r="A104" s="169" t="str">
        <f t="shared" si="6"/>
        <v>1</v>
      </c>
      <c r="C104" s="86" t="s">
        <v>1635</v>
      </c>
      <c r="L104" s="426" t="s">
        <v>374</v>
      </c>
      <c r="M104" s="429" t="s">
        <v>1137</v>
      </c>
      <c r="N104" s="136" t="s">
        <v>311</v>
      </c>
      <c r="O104" s="327"/>
      <c r="P104" s="327"/>
      <c r="Q104" s="327"/>
      <c r="R104" s="327"/>
      <c r="S104" s="327"/>
      <c r="T104" s="327"/>
      <c r="U104" s="327"/>
      <c r="V104" s="327"/>
      <c r="W104" s="327"/>
      <c r="X104" s="327"/>
      <c r="Y104" s="327"/>
      <c r="Z104" s="327"/>
      <c r="AA104" s="327"/>
      <c r="AB104" s="327"/>
      <c r="AC104" s="327"/>
      <c r="AD104" s="327"/>
      <c r="AE104" s="327"/>
      <c r="AF104" s="327"/>
      <c r="AG104" s="327"/>
      <c r="AH104" s="327"/>
      <c r="AI104" s="327"/>
      <c r="AJ104" s="327"/>
      <c r="AK104" s="327"/>
      <c r="AL104" s="327"/>
      <c r="AM104" s="338"/>
    </row>
    <row r="105" spans="1:39" s="86" customFormat="1" outlineLevel="1">
      <c r="A105" s="169" t="str">
        <f t="shared" si="6"/>
        <v>1</v>
      </c>
      <c r="C105" s="86" t="s">
        <v>1446</v>
      </c>
      <c r="L105" s="426" t="s">
        <v>120</v>
      </c>
      <c r="M105" s="429" t="s">
        <v>314</v>
      </c>
      <c r="N105" s="136" t="s">
        <v>311</v>
      </c>
      <c r="O105" s="452">
        <f t="shared" ref="O105:AL105" si="8">SUM(O106:O107)</f>
        <v>0</v>
      </c>
      <c r="P105" s="452">
        <f t="shared" si="8"/>
        <v>0</v>
      </c>
      <c r="Q105" s="452">
        <f t="shared" si="8"/>
        <v>0</v>
      </c>
      <c r="R105" s="452">
        <f t="shared" si="8"/>
        <v>0</v>
      </c>
      <c r="S105" s="452">
        <f t="shared" si="8"/>
        <v>0</v>
      </c>
      <c r="T105" s="452">
        <f t="shared" si="8"/>
        <v>0</v>
      </c>
      <c r="U105" s="452">
        <f t="shared" si="8"/>
        <v>0</v>
      </c>
      <c r="V105" s="452">
        <f t="shared" si="8"/>
        <v>0</v>
      </c>
      <c r="W105" s="452">
        <f t="shared" si="8"/>
        <v>0</v>
      </c>
      <c r="X105" s="452">
        <f t="shared" si="8"/>
        <v>0</v>
      </c>
      <c r="Y105" s="452">
        <f t="shared" si="8"/>
        <v>0</v>
      </c>
      <c r="Z105" s="452">
        <f t="shared" si="8"/>
        <v>0</v>
      </c>
      <c r="AA105" s="452">
        <f t="shared" si="8"/>
        <v>0</v>
      </c>
      <c r="AB105" s="452">
        <f t="shared" si="8"/>
        <v>0</v>
      </c>
      <c r="AC105" s="452">
        <f t="shared" si="8"/>
        <v>0</v>
      </c>
      <c r="AD105" s="452">
        <f t="shared" si="8"/>
        <v>0</v>
      </c>
      <c r="AE105" s="452">
        <f t="shared" si="8"/>
        <v>0</v>
      </c>
      <c r="AF105" s="452">
        <f t="shared" si="8"/>
        <v>0</v>
      </c>
      <c r="AG105" s="452">
        <f t="shared" si="8"/>
        <v>0</v>
      </c>
      <c r="AH105" s="452">
        <f t="shared" si="8"/>
        <v>0</v>
      </c>
      <c r="AI105" s="452">
        <f t="shared" si="8"/>
        <v>0</v>
      </c>
      <c r="AJ105" s="452">
        <f t="shared" si="8"/>
        <v>0</v>
      </c>
      <c r="AK105" s="452">
        <f t="shared" si="8"/>
        <v>0</v>
      </c>
      <c r="AL105" s="452">
        <f t="shared" si="8"/>
        <v>0</v>
      </c>
      <c r="AM105" s="338"/>
    </row>
    <row r="106" spans="1:39" s="86" customFormat="1" outlineLevel="1">
      <c r="A106" s="169" t="str">
        <f t="shared" si="6"/>
        <v>1</v>
      </c>
      <c r="C106" s="86" t="s">
        <v>1599</v>
      </c>
      <c r="L106" s="426" t="s">
        <v>122</v>
      </c>
      <c r="M106" s="163" t="s">
        <v>1095</v>
      </c>
      <c r="N106" s="136" t="s">
        <v>311</v>
      </c>
      <c r="O106" s="327"/>
      <c r="P106" s="327"/>
      <c r="Q106" s="327"/>
      <c r="R106" s="327"/>
      <c r="S106" s="327"/>
      <c r="T106" s="327"/>
      <c r="U106" s="327"/>
      <c r="V106" s="327"/>
      <c r="W106" s="327"/>
      <c r="X106" s="327"/>
      <c r="Y106" s="327"/>
      <c r="Z106" s="327"/>
      <c r="AA106" s="327"/>
      <c r="AB106" s="327"/>
      <c r="AC106" s="327"/>
      <c r="AD106" s="327"/>
      <c r="AE106" s="327"/>
      <c r="AF106" s="327"/>
      <c r="AG106" s="327"/>
      <c r="AH106" s="327"/>
      <c r="AI106" s="327"/>
      <c r="AJ106" s="327"/>
      <c r="AK106" s="327"/>
      <c r="AL106" s="327"/>
      <c r="AM106" s="338"/>
    </row>
    <row r="107" spans="1:39" s="86" customFormat="1" outlineLevel="1">
      <c r="A107" s="169" t="str">
        <f t="shared" si="6"/>
        <v>1</v>
      </c>
      <c r="C107" s="86" t="s">
        <v>1600</v>
      </c>
      <c r="L107" s="426" t="s">
        <v>123</v>
      </c>
      <c r="M107" s="163" t="s">
        <v>315</v>
      </c>
      <c r="N107" s="136" t="s">
        <v>311</v>
      </c>
      <c r="O107" s="327"/>
      <c r="P107" s="327"/>
      <c r="Q107" s="327"/>
      <c r="R107" s="327"/>
      <c r="S107" s="327"/>
      <c r="T107" s="327"/>
      <c r="U107" s="327"/>
      <c r="V107" s="327"/>
      <c r="W107" s="327"/>
      <c r="X107" s="327"/>
      <c r="Y107" s="327"/>
      <c r="Z107" s="327"/>
      <c r="AA107" s="327"/>
      <c r="AB107" s="327"/>
      <c r="AC107" s="327"/>
      <c r="AD107" s="327"/>
      <c r="AE107" s="327"/>
      <c r="AF107" s="327"/>
      <c r="AG107" s="327"/>
      <c r="AH107" s="327"/>
      <c r="AI107" s="327"/>
      <c r="AJ107" s="327"/>
      <c r="AK107" s="327"/>
      <c r="AL107" s="327"/>
      <c r="AM107" s="338"/>
    </row>
    <row r="108" spans="1:39" s="86" customFormat="1" outlineLevel="1">
      <c r="A108" s="169" t="str">
        <f t="shared" si="6"/>
        <v>1</v>
      </c>
      <c r="C108" s="86" t="s">
        <v>1448</v>
      </c>
      <c r="L108" s="426" t="s">
        <v>124</v>
      </c>
      <c r="M108" s="428" t="s">
        <v>316</v>
      </c>
      <c r="N108" s="136" t="s">
        <v>311</v>
      </c>
      <c r="O108" s="451"/>
      <c r="P108" s="451"/>
      <c r="Q108" s="451"/>
      <c r="R108" s="451"/>
      <c r="S108" s="451"/>
      <c r="T108" s="451"/>
      <c r="U108" s="451"/>
      <c r="V108" s="451"/>
      <c r="W108" s="451"/>
      <c r="X108" s="451"/>
      <c r="Y108" s="451"/>
      <c r="Z108" s="451"/>
      <c r="AA108" s="451"/>
      <c r="AB108" s="451"/>
      <c r="AC108" s="451"/>
      <c r="AD108" s="451"/>
      <c r="AE108" s="451"/>
      <c r="AF108" s="451"/>
      <c r="AG108" s="451"/>
      <c r="AH108" s="451"/>
      <c r="AI108" s="451"/>
      <c r="AJ108" s="451"/>
      <c r="AK108" s="451"/>
      <c r="AL108" s="451"/>
      <c r="AM108" s="338"/>
    </row>
    <row r="109" spans="1:39" s="86" customFormat="1" outlineLevel="1">
      <c r="A109" s="169" t="str">
        <f t="shared" si="6"/>
        <v>1</v>
      </c>
      <c r="C109" s="86" t="s">
        <v>1450</v>
      </c>
      <c r="L109" s="426" t="s">
        <v>125</v>
      </c>
      <c r="M109" s="428" t="s">
        <v>317</v>
      </c>
      <c r="N109" s="136" t="s">
        <v>311</v>
      </c>
      <c r="O109" s="327"/>
      <c r="P109" s="327"/>
      <c r="Q109" s="327"/>
      <c r="R109" s="327"/>
      <c r="S109" s="327"/>
      <c r="T109" s="327"/>
      <c r="U109" s="327"/>
      <c r="V109" s="327"/>
      <c r="W109" s="327"/>
      <c r="X109" s="327"/>
      <c r="Y109" s="327"/>
      <c r="Z109" s="327"/>
      <c r="AA109" s="327"/>
      <c r="AB109" s="327"/>
      <c r="AC109" s="327"/>
      <c r="AD109" s="327"/>
      <c r="AE109" s="327"/>
      <c r="AF109" s="327"/>
      <c r="AG109" s="327"/>
      <c r="AH109" s="327"/>
      <c r="AI109" s="327"/>
      <c r="AJ109" s="327"/>
      <c r="AK109" s="327"/>
      <c r="AL109" s="327"/>
      <c r="AM109" s="338"/>
    </row>
    <row r="110" spans="1:39" s="86" customFormat="1" outlineLevel="1">
      <c r="A110" s="169" t="str">
        <f t="shared" si="6"/>
        <v>1</v>
      </c>
      <c r="C110" s="86" t="s">
        <v>1452</v>
      </c>
      <c r="L110" s="426" t="s">
        <v>126</v>
      </c>
      <c r="M110" s="429" t="s">
        <v>318</v>
      </c>
      <c r="N110" s="136" t="s">
        <v>311</v>
      </c>
      <c r="O110" s="452">
        <f t="shared" ref="O110:AL110" si="9">O116+O114</f>
        <v>0</v>
      </c>
      <c r="P110" s="452">
        <f t="shared" si="9"/>
        <v>0</v>
      </c>
      <c r="Q110" s="452">
        <f t="shared" si="9"/>
        <v>0</v>
      </c>
      <c r="R110" s="452">
        <f t="shared" si="9"/>
        <v>0</v>
      </c>
      <c r="S110" s="452">
        <f t="shared" si="9"/>
        <v>0</v>
      </c>
      <c r="T110" s="452">
        <f t="shared" si="9"/>
        <v>0</v>
      </c>
      <c r="U110" s="452">
        <f t="shared" si="9"/>
        <v>0</v>
      </c>
      <c r="V110" s="452">
        <f t="shared" si="9"/>
        <v>0</v>
      </c>
      <c r="W110" s="452">
        <f t="shared" si="9"/>
        <v>0</v>
      </c>
      <c r="X110" s="452">
        <f t="shared" si="9"/>
        <v>0</v>
      </c>
      <c r="Y110" s="452">
        <f t="shared" si="9"/>
        <v>0</v>
      </c>
      <c r="Z110" s="452">
        <f t="shared" si="9"/>
        <v>0</v>
      </c>
      <c r="AA110" s="452">
        <f t="shared" si="9"/>
        <v>0</v>
      </c>
      <c r="AB110" s="452">
        <f t="shared" si="9"/>
        <v>0</v>
      </c>
      <c r="AC110" s="452">
        <f t="shared" si="9"/>
        <v>0</v>
      </c>
      <c r="AD110" s="452">
        <f t="shared" si="9"/>
        <v>0</v>
      </c>
      <c r="AE110" s="452">
        <f t="shared" si="9"/>
        <v>0</v>
      </c>
      <c r="AF110" s="452">
        <f t="shared" si="9"/>
        <v>0</v>
      </c>
      <c r="AG110" s="452">
        <f t="shared" si="9"/>
        <v>0</v>
      </c>
      <c r="AH110" s="452">
        <f t="shared" si="9"/>
        <v>0</v>
      </c>
      <c r="AI110" s="452">
        <f t="shared" si="9"/>
        <v>0</v>
      </c>
      <c r="AJ110" s="452">
        <f t="shared" si="9"/>
        <v>0</v>
      </c>
      <c r="AK110" s="452">
        <f t="shared" si="9"/>
        <v>0</v>
      </c>
      <c r="AL110" s="452">
        <f t="shared" si="9"/>
        <v>0</v>
      </c>
      <c r="AM110" s="338"/>
    </row>
    <row r="111" spans="1:39" s="86" customFormat="1" outlineLevel="1">
      <c r="A111" s="169" t="str">
        <f t="shared" si="6"/>
        <v>1</v>
      </c>
      <c r="C111" s="86" t="s">
        <v>1454</v>
      </c>
      <c r="L111" s="426" t="s">
        <v>141</v>
      </c>
      <c r="M111" s="163" t="s">
        <v>319</v>
      </c>
      <c r="N111" s="136" t="s">
        <v>311</v>
      </c>
      <c r="O111" s="327"/>
      <c r="P111" s="327"/>
      <c r="Q111" s="327"/>
      <c r="R111" s="327"/>
      <c r="S111" s="327"/>
      <c r="T111" s="327"/>
      <c r="U111" s="327"/>
      <c r="V111" s="327"/>
      <c r="W111" s="327"/>
      <c r="X111" s="327"/>
      <c r="Y111" s="327"/>
      <c r="Z111" s="327"/>
      <c r="AA111" s="327"/>
      <c r="AB111" s="327"/>
      <c r="AC111" s="327"/>
      <c r="AD111" s="327"/>
      <c r="AE111" s="327"/>
      <c r="AF111" s="327"/>
      <c r="AG111" s="327"/>
      <c r="AH111" s="327"/>
      <c r="AI111" s="327"/>
      <c r="AJ111" s="327"/>
      <c r="AK111" s="327"/>
      <c r="AL111" s="327"/>
      <c r="AM111" s="338"/>
    </row>
    <row r="112" spans="1:39" s="86" customFormat="1" outlineLevel="1">
      <c r="A112" s="169" t="str">
        <f t="shared" si="6"/>
        <v>1</v>
      </c>
      <c r="C112" s="86" t="s">
        <v>1455</v>
      </c>
      <c r="L112" s="426" t="s">
        <v>183</v>
      </c>
      <c r="M112" s="163" t="s">
        <v>320</v>
      </c>
      <c r="N112" s="136" t="s">
        <v>311</v>
      </c>
      <c r="O112" s="327"/>
      <c r="P112" s="327"/>
      <c r="Q112" s="327"/>
      <c r="R112" s="327"/>
      <c r="S112" s="327"/>
      <c r="T112" s="327"/>
      <c r="U112" s="327"/>
      <c r="V112" s="327"/>
      <c r="W112" s="327"/>
      <c r="X112" s="327"/>
      <c r="Y112" s="327"/>
      <c r="Z112" s="327"/>
      <c r="AA112" s="327"/>
      <c r="AB112" s="327"/>
      <c r="AC112" s="327"/>
      <c r="AD112" s="327"/>
      <c r="AE112" s="327"/>
      <c r="AF112" s="327"/>
      <c r="AG112" s="327"/>
      <c r="AH112" s="327"/>
      <c r="AI112" s="327"/>
      <c r="AJ112" s="327"/>
      <c r="AK112" s="327"/>
      <c r="AL112" s="327"/>
      <c r="AM112" s="338"/>
    </row>
    <row r="113" spans="1:39" s="86" customFormat="1" ht="22.8" outlineLevel="1">
      <c r="A113" s="169" t="str">
        <f t="shared" si="6"/>
        <v>1</v>
      </c>
      <c r="C113" s="86" t="s">
        <v>1667</v>
      </c>
      <c r="L113" s="426" t="s">
        <v>390</v>
      </c>
      <c r="M113" s="163" t="s">
        <v>1138</v>
      </c>
      <c r="N113" s="136" t="s">
        <v>311</v>
      </c>
      <c r="O113" s="327"/>
      <c r="P113" s="327"/>
      <c r="Q113" s="327"/>
      <c r="R113" s="327"/>
      <c r="S113" s="327"/>
      <c r="T113" s="327"/>
      <c r="U113" s="327"/>
      <c r="V113" s="327"/>
      <c r="W113" s="327"/>
      <c r="X113" s="327"/>
      <c r="Y113" s="327"/>
      <c r="Z113" s="327"/>
      <c r="AA113" s="327"/>
      <c r="AB113" s="327"/>
      <c r="AC113" s="327"/>
      <c r="AD113" s="327"/>
      <c r="AE113" s="327"/>
      <c r="AF113" s="327"/>
      <c r="AG113" s="327"/>
      <c r="AH113" s="327"/>
      <c r="AI113" s="327"/>
      <c r="AJ113" s="327"/>
      <c r="AK113" s="327"/>
      <c r="AL113" s="327"/>
      <c r="AM113" s="338"/>
    </row>
    <row r="114" spans="1:39" s="86" customFormat="1" outlineLevel="1">
      <c r="A114" s="169" t="str">
        <f t="shared" si="6"/>
        <v>1</v>
      </c>
      <c r="C114" s="86" t="s">
        <v>1456</v>
      </c>
      <c r="L114" s="426" t="s">
        <v>127</v>
      </c>
      <c r="M114" s="428" t="s">
        <v>1158</v>
      </c>
      <c r="N114" s="136" t="s">
        <v>311</v>
      </c>
      <c r="O114" s="327"/>
      <c r="P114" s="327"/>
      <c r="Q114" s="327"/>
      <c r="R114" s="327"/>
      <c r="S114" s="327"/>
      <c r="T114" s="327"/>
      <c r="U114" s="327"/>
      <c r="V114" s="327"/>
      <c r="W114" s="327"/>
      <c r="X114" s="327"/>
      <c r="Y114" s="327"/>
      <c r="Z114" s="327"/>
      <c r="AA114" s="327"/>
      <c r="AB114" s="327"/>
      <c r="AC114" s="327"/>
      <c r="AD114" s="327"/>
      <c r="AE114" s="327"/>
      <c r="AF114" s="327"/>
      <c r="AG114" s="327"/>
      <c r="AH114" s="327"/>
      <c r="AI114" s="327"/>
      <c r="AJ114" s="327"/>
      <c r="AK114" s="327"/>
      <c r="AL114" s="327"/>
      <c r="AM114" s="338"/>
    </row>
    <row r="115" spans="1:39" s="86" customFormat="1" outlineLevel="1">
      <c r="A115" s="169" t="str">
        <f t="shared" si="6"/>
        <v>1</v>
      </c>
      <c r="C115" s="86" t="s">
        <v>1668</v>
      </c>
      <c r="L115" s="426" t="s">
        <v>1265</v>
      </c>
      <c r="M115" s="430" t="s">
        <v>322</v>
      </c>
      <c r="N115" s="170" t="s">
        <v>137</v>
      </c>
      <c r="O115" s="453">
        <f t="shared" ref="O115:AL115" si="10">IF(O110=0,0,O114/O110*100)</f>
        <v>0</v>
      </c>
      <c r="P115" s="453">
        <f t="shared" si="10"/>
        <v>0</v>
      </c>
      <c r="Q115" s="453">
        <f t="shared" si="10"/>
        <v>0</v>
      </c>
      <c r="R115" s="453">
        <f t="shared" si="10"/>
        <v>0</v>
      </c>
      <c r="S115" s="453">
        <f t="shared" si="10"/>
        <v>0</v>
      </c>
      <c r="T115" s="453">
        <f t="shared" si="10"/>
        <v>0</v>
      </c>
      <c r="U115" s="453">
        <f t="shared" si="10"/>
        <v>0</v>
      </c>
      <c r="V115" s="453">
        <f t="shared" si="10"/>
        <v>0</v>
      </c>
      <c r="W115" s="453">
        <f t="shared" si="10"/>
        <v>0</v>
      </c>
      <c r="X115" s="453">
        <f t="shared" si="10"/>
        <v>0</v>
      </c>
      <c r="Y115" s="453">
        <f t="shared" si="10"/>
        <v>0</v>
      </c>
      <c r="Z115" s="453">
        <f t="shared" si="10"/>
        <v>0</v>
      </c>
      <c r="AA115" s="453">
        <f t="shared" si="10"/>
        <v>0</v>
      </c>
      <c r="AB115" s="453">
        <f t="shared" si="10"/>
        <v>0</v>
      </c>
      <c r="AC115" s="453">
        <f t="shared" si="10"/>
        <v>0</v>
      </c>
      <c r="AD115" s="453">
        <f t="shared" si="10"/>
        <v>0</v>
      </c>
      <c r="AE115" s="453">
        <f t="shared" si="10"/>
        <v>0</v>
      </c>
      <c r="AF115" s="453">
        <f t="shared" si="10"/>
        <v>0</v>
      </c>
      <c r="AG115" s="453">
        <f t="shared" si="10"/>
        <v>0</v>
      </c>
      <c r="AH115" s="453">
        <f t="shared" si="10"/>
        <v>0</v>
      </c>
      <c r="AI115" s="453">
        <f t="shared" si="10"/>
        <v>0</v>
      </c>
      <c r="AJ115" s="453">
        <f t="shared" si="10"/>
        <v>0</v>
      </c>
      <c r="AK115" s="453">
        <f t="shared" si="10"/>
        <v>0</v>
      </c>
      <c r="AL115" s="453">
        <f t="shared" si="10"/>
        <v>0</v>
      </c>
      <c r="AM115" s="338"/>
    </row>
    <row r="116" spans="1:39" s="86" customFormat="1" outlineLevel="1">
      <c r="A116" s="169" t="str">
        <f t="shared" si="6"/>
        <v>1</v>
      </c>
      <c r="C116" s="86" t="s">
        <v>1458</v>
      </c>
      <c r="L116" s="426" t="s">
        <v>128</v>
      </c>
      <c r="M116" s="428" t="s">
        <v>323</v>
      </c>
      <c r="N116" s="136" t="s">
        <v>311</v>
      </c>
      <c r="O116" s="452">
        <f t="shared" ref="O116:AL116" si="11">O117+O121+O124+O134</f>
        <v>0</v>
      </c>
      <c r="P116" s="452">
        <f t="shared" si="11"/>
        <v>0</v>
      </c>
      <c r="Q116" s="452">
        <f t="shared" si="11"/>
        <v>0</v>
      </c>
      <c r="R116" s="452">
        <f t="shared" si="11"/>
        <v>0</v>
      </c>
      <c r="S116" s="452">
        <f t="shared" si="11"/>
        <v>0</v>
      </c>
      <c r="T116" s="452">
        <f t="shared" si="11"/>
        <v>0</v>
      </c>
      <c r="U116" s="452">
        <f t="shared" si="11"/>
        <v>0</v>
      </c>
      <c r="V116" s="452">
        <f t="shared" si="11"/>
        <v>0</v>
      </c>
      <c r="W116" s="452">
        <f t="shared" si="11"/>
        <v>0</v>
      </c>
      <c r="X116" s="452">
        <f t="shared" si="11"/>
        <v>0</v>
      </c>
      <c r="Y116" s="452">
        <f t="shared" si="11"/>
        <v>0</v>
      </c>
      <c r="Z116" s="452">
        <f t="shared" si="11"/>
        <v>0</v>
      </c>
      <c r="AA116" s="452">
        <f t="shared" si="11"/>
        <v>0</v>
      </c>
      <c r="AB116" s="452">
        <f t="shared" si="11"/>
        <v>0</v>
      </c>
      <c r="AC116" s="452">
        <f t="shared" si="11"/>
        <v>0</v>
      </c>
      <c r="AD116" s="452">
        <f t="shared" si="11"/>
        <v>0</v>
      </c>
      <c r="AE116" s="452">
        <f t="shared" si="11"/>
        <v>0</v>
      </c>
      <c r="AF116" s="452">
        <f t="shared" si="11"/>
        <v>0</v>
      </c>
      <c r="AG116" s="452">
        <f t="shared" si="11"/>
        <v>0</v>
      </c>
      <c r="AH116" s="452">
        <f t="shared" si="11"/>
        <v>0</v>
      </c>
      <c r="AI116" s="452">
        <f t="shared" si="11"/>
        <v>0</v>
      </c>
      <c r="AJ116" s="452">
        <f t="shared" si="11"/>
        <v>0</v>
      </c>
      <c r="AK116" s="452">
        <f t="shared" si="11"/>
        <v>0</v>
      </c>
      <c r="AL116" s="452">
        <f t="shared" si="11"/>
        <v>0</v>
      </c>
      <c r="AM116" s="338"/>
    </row>
    <row r="117" spans="1:39" s="86" customFormat="1" outlineLevel="1">
      <c r="A117" s="169" t="str">
        <f t="shared" si="6"/>
        <v>1</v>
      </c>
      <c r="B117" s="86" t="str">
        <f>IF(OwnNeedsInPO="да","ПО","")</f>
        <v>ПО</v>
      </c>
      <c r="C117" s="86" t="s">
        <v>1481</v>
      </c>
      <c r="L117" s="426" t="s">
        <v>1204</v>
      </c>
      <c r="M117" s="163" t="s">
        <v>324</v>
      </c>
      <c r="N117" s="136" t="s">
        <v>311</v>
      </c>
      <c r="O117" s="452">
        <f t="shared" ref="O117:AL117" si="12">SUM(O118:O120)</f>
        <v>0</v>
      </c>
      <c r="P117" s="452">
        <f t="shared" si="12"/>
        <v>0</v>
      </c>
      <c r="Q117" s="452">
        <f t="shared" si="12"/>
        <v>0</v>
      </c>
      <c r="R117" s="452">
        <f t="shared" si="12"/>
        <v>0</v>
      </c>
      <c r="S117" s="452">
        <f t="shared" si="12"/>
        <v>0</v>
      </c>
      <c r="T117" s="452">
        <f t="shared" si="12"/>
        <v>0</v>
      </c>
      <c r="U117" s="452">
        <f t="shared" si="12"/>
        <v>0</v>
      </c>
      <c r="V117" s="452">
        <f t="shared" si="12"/>
        <v>0</v>
      </c>
      <c r="W117" s="452">
        <f t="shared" si="12"/>
        <v>0</v>
      </c>
      <c r="X117" s="452">
        <f t="shared" si="12"/>
        <v>0</v>
      </c>
      <c r="Y117" s="452">
        <f t="shared" si="12"/>
        <v>0</v>
      </c>
      <c r="Z117" s="452">
        <f t="shared" si="12"/>
        <v>0</v>
      </c>
      <c r="AA117" s="452">
        <f t="shared" si="12"/>
        <v>0</v>
      </c>
      <c r="AB117" s="452">
        <f t="shared" si="12"/>
        <v>0</v>
      </c>
      <c r="AC117" s="452">
        <f t="shared" si="12"/>
        <v>0</v>
      </c>
      <c r="AD117" s="452">
        <f t="shared" si="12"/>
        <v>0</v>
      </c>
      <c r="AE117" s="452">
        <f t="shared" si="12"/>
        <v>0</v>
      </c>
      <c r="AF117" s="452">
        <f t="shared" si="12"/>
        <v>0</v>
      </c>
      <c r="AG117" s="452">
        <f t="shared" si="12"/>
        <v>0</v>
      </c>
      <c r="AH117" s="452">
        <f t="shared" si="12"/>
        <v>0</v>
      </c>
      <c r="AI117" s="452">
        <f t="shared" si="12"/>
        <v>0</v>
      </c>
      <c r="AJ117" s="452">
        <f t="shared" si="12"/>
        <v>0</v>
      </c>
      <c r="AK117" s="452">
        <f t="shared" si="12"/>
        <v>0</v>
      </c>
      <c r="AL117" s="452">
        <f t="shared" si="12"/>
        <v>0</v>
      </c>
      <c r="AM117" s="338"/>
    </row>
    <row r="118" spans="1:39" s="86" customFormat="1" outlineLevel="1">
      <c r="A118" s="169" t="str">
        <f t="shared" si="6"/>
        <v>1</v>
      </c>
      <c r="C118" s="86" t="s">
        <v>1669</v>
      </c>
      <c r="L118" s="426" t="s">
        <v>1266</v>
      </c>
      <c r="M118" s="431" t="s">
        <v>325</v>
      </c>
      <c r="N118" s="136" t="s">
        <v>311</v>
      </c>
      <c r="O118" s="327"/>
      <c r="P118" s="327"/>
      <c r="Q118" s="327"/>
      <c r="R118" s="327"/>
      <c r="S118" s="327"/>
      <c r="T118" s="327"/>
      <c r="U118" s="327"/>
      <c r="V118" s="327"/>
      <c r="W118" s="327"/>
      <c r="X118" s="327"/>
      <c r="Y118" s="327"/>
      <c r="Z118" s="327"/>
      <c r="AA118" s="327"/>
      <c r="AB118" s="327"/>
      <c r="AC118" s="327"/>
      <c r="AD118" s="327"/>
      <c r="AE118" s="327"/>
      <c r="AF118" s="327"/>
      <c r="AG118" s="327"/>
      <c r="AH118" s="327"/>
      <c r="AI118" s="327"/>
      <c r="AJ118" s="327"/>
      <c r="AK118" s="327"/>
      <c r="AL118" s="327"/>
      <c r="AM118" s="338"/>
    </row>
    <row r="119" spans="1:39" s="86" customFormat="1" outlineLevel="1">
      <c r="A119" s="169" t="str">
        <f t="shared" si="6"/>
        <v>1</v>
      </c>
      <c r="C119" s="86" t="s">
        <v>1670</v>
      </c>
      <c r="L119" s="426" t="s">
        <v>1267</v>
      </c>
      <c r="M119" s="431" t="s">
        <v>326</v>
      </c>
      <c r="N119" s="136" t="s">
        <v>311</v>
      </c>
      <c r="O119" s="327"/>
      <c r="P119" s="327"/>
      <c r="Q119" s="327"/>
      <c r="R119" s="327"/>
      <c r="S119" s="327"/>
      <c r="T119" s="327"/>
      <c r="U119" s="327"/>
      <c r="V119" s="327"/>
      <c r="W119" s="327"/>
      <c r="X119" s="327"/>
      <c r="Y119" s="327"/>
      <c r="Z119" s="327"/>
      <c r="AA119" s="327"/>
      <c r="AB119" s="327"/>
      <c r="AC119" s="327"/>
      <c r="AD119" s="327"/>
      <c r="AE119" s="327"/>
      <c r="AF119" s="327"/>
      <c r="AG119" s="327"/>
      <c r="AH119" s="327"/>
      <c r="AI119" s="327"/>
      <c r="AJ119" s="327"/>
      <c r="AK119" s="327"/>
      <c r="AL119" s="327"/>
      <c r="AM119" s="338"/>
    </row>
    <row r="120" spans="1:39" s="86" customFormat="1" outlineLevel="1">
      <c r="A120" s="169" t="str">
        <f t="shared" si="6"/>
        <v>1</v>
      </c>
      <c r="C120" s="86" t="s">
        <v>1671</v>
      </c>
      <c r="L120" s="426" t="s">
        <v>1268</v>
      </c>
      <c r="M120" s="431" t="s">
        <v>327</v>
      </c>
      <c r="N120" s="136" t="s">
        <v>311</v>
      </c>
      <c r="O120" s="327"/>
      <c r="P120" s="327"/>
      <c r="Q120" s="327"/>
      <c r="R120" s="327"/>
      <c r="S120" s="327"/>
      <c r="T120" s="327"/>
      <c r="U120" s="327"/>
      <c r="V120" s="327"/>
      <c r="W120" s="327"/>
      <c r="X120" s="327"/>
      <c r="Y120" s="327"/>
      <c r="Z120" s="327"/>
      <c r="AA120" s="327"/>
      <c r="AB120" s="327"/>
      <c r="AC120" s="327"/>
      <c r="AD120" s="327"/>
      <c r="AE120" s="327"/>
      <c r="AF120" s="327"/>
      <c r="AG120" s="327"/>
      <c r="AH120" s="327"/>
      <c r="AI120" s="327"/>
      <c r="AJ120" s="327"/>
      <c r="AK120" s="327"/>
      <c r="AL120" s="327"/>
      <c r="AM120" s="338"/>
    </row>
    <row r="121" spans="1:39" s="86" customFormat="1" outlineLevel="1">
      <c r="A121" s="169" t="str">
        <f t="shared" si="6"/>
        <v>1</v>
      </c>
      <c r="B121" s="86" t="s">
        <v>1135</v>
      </c>
      <c r="C121" s="86" t="s">
        <v>1672</v>
      </c>
      <c r="L121" s="426" t="s">
        <v>1269</v>
      </c>
      <c r="M121" s="163" t="s">
        <v>328</v>
      </c>
      <c r="N121" s="136" t="s">
        <v>311</v>
      </c>
      <c r="O121" s="452">
        <f t="shared" ref="O121:AL121" si="13">SUM(O122:O123)</f>
        <v>0</v>
      </c>
      <c r="P121" s="452">
        <f t="shared" si="13"/>
        <v>0</v>
      </c>
      <c r="Q121" s="452">
        <f t="shared" si="13"/>
        <v>0</v>
      </c>
      <c r="R121" s="452">
        <f t="shared" si="13"/>
        <v>0</v>
      </c>
      <c r="S121" s="452">
        <f t="shared" si="13"/>
        <v>0</v>
      </c>
      <c r="T121" s="452">
        <f t="shared" si="13"/>
        <v>0</v>
      </c>
      <c r="U121" s="452">
        <f t="shared" si="13"/>
        <v>0</v>
      </c>
      <c r="V121" s="452">
        <f t="shared" si="13"/>
        <v>0</v>
      </c>
      <c r="W121" s="452">
        <f t="shared" si="13"/>
        <v>0</v>
      </c>
      <c r="X121" s="452">
        <f t="shared" si="13"/>
        <v>0</v>
      </c>
      <c r="Y121" s="452">
        <f t="shared" si="13"/>
        <v>0</v>
      </c>
      <c r="Z121" s="452">
        <f t="shared" si="13"/>
        <v>0</v>
      </c>
      <c r="AA121" s="452">
        <f t="shared" si="13"/>
        <v>0</v>
      </c>
      <c r="AB121" s="452">
        <f t="shared" si="13"/>
        <v>0</v>
      </c>
      <c r="AC121" s="452">
        <f t="shared" si="13"/>
        <v>0</v>
      </c>
      <c r="AD121" s="452">
        <f t="shared" si="13"/>
        <v>0</v>
      </c>
      <c r="AE121" s="452">
        <f t="shared" si="13"/>
        <v>0</v>
      </c>
      <c r="AF121" s="452">
        <f t="shared" si="13"/>
        <v>0</v>
      </c>
      <c r="AG121" s="452">
        <f t="shared" si="13"/>
        <v>0</v>
      </c>
      <c r="AH121" s="452">
        <f t="shared" si="13"/>
        <v>0</v>
      </c>
      <c r="AI121" s="452">
        <f t="shared" si="13"/>
        <v>0</v>
      </c>
      <c r="AJ121" s="452">
        <f t="shared" si="13"/>
        <v>0</v>
      </c>
      <c r="AK121" s="452">
        <f t="shared" si="13"/>
        <v>0</v>
      </c>
      <c r="AL121" s="452">
        <f t="shared" si="13"/>
        <v>0</v>
      </c>
      <c r="AM121" s="338"/>
    </row>
    <row r="122" spans="1:39" s="86" customFormat="1" outlineLevel="1">
      <c r="A122" s="169" t="str">
        <f t="shared" si="6"/>
        <v>1</v>
      </c>
      <c r="C122" s="86" t="s">
        <v>1673</v>
      </c>
      <c r="L122" s="426" t="s">
        <v>1270</v>
      </c>
      <c r="M122" s="431" t="s">
        <v>329</v>
      </c>
      <c r="N122" s="136" t="s">
        <v>311</v>
      </c>
      <c r="O122" s="327"/>
      <c r="P122" s="327"/>
      <c r="Q122" s="327"/>
      <c r="R122" s="327"/>
      <c r="S122" s="327"/>
      <c r="T122" s="327"/>
      <c r="U122" s="327"/>
      <c r="V122" s="327"/>
      <c r="W122" s="327"/>
      <c r="X122" s="327"/>
      <c r="Y122" s="327"/>
      <c r="Z122" s="327"/>
      <c r="AA122" s="327"/>
      <c r="AB122" s="327"/>
      <c r="AC122" s="327"/>
      <c r="AD122" s="327"/>
      <c r="AE122" s="327"/>
      <c r="AF122" s="327"/>
      <c r="AG122" s="327"/>
      <c r="AH122" s="327"/>
      <c r="AI122" s="327"/>
      <c r="AJ122" s="327"/>
      <c r="AK122" s="327"/>
      <c r="AL122" s="327"/>
      <c r="AM122" s="338"/>
    </row>
    <row r="123" spans="1:39" s="86" customFormat="1" outlineLevel="1">
      <c r="A123" s="169" t="str">
        <f t="shared" si="6"/>
        <v>1</v>
      </c>
      <c r="C123" s="86" t="s">
        <v>1674</v>
      </c>
      <c r="L123" s="426" t="s">
        <v>1271</v>
      </c>
      <c r="M123" s="431" t="s">
        <v>330</v>
      </c>
      <c r="N123" s="136" t="s">
        <v>311</v>
      </c>
      <c r="O123" s="327"/>
      <c r="P123" s="327"/>
      <c r="Q123" s="327"/>
      <c r="R123" s="327"/>
      <c r="S123" s="327"/>
      <c r="T123" s="327"/>
      <c r="U123" s="327"/>
      <c r="V123" s="327"/>
      <c r="W123" s="327"/>
      <c r="X123" s="327"/>
      <c r="Y123" s="327"/>
      <c r="Z123" s="327"/>
      <c r="AA123" s="327"/>
      <c r="AB123" s="327"/>
      <c r="AC123" s="327"/>
      <c r="AD123" s="327"/>
      <c r="AE123" s="327"/>
      <c r="AF123" s="327"/>
      <c r="AG123" s="327"/>
      <c r="AH123" s="327"/>
      <c r="AI123" s="327"/>
      <c r="AJ123" s="327"/>
      <c r="AK123" s="327"/>
      <c r="AL123" s="327"/>
      <c r="AM123" s="338"/>
    </row>
    <row r="124" spans="1:39" s="86" customFormat="1" outlineLevel="1">
      <c r="A124" s="169" t="str">
        <f t="shared" si="6"/>
        <v>1</v>
      </c>
      <c r="B124" s="86" t="s">
        <v>1135</v>
      </c>
      <c r="C124" s="86" t="s">
        <v>1675</v>
      </c>
      <c r="L124" s="426" t="s">
        <v>1272</v>
      </c>
      <c r="M124" s="163" t="s">
        <v>1159</v>
      </c>
      <c r="N124" s="136" t="s">
        <v>311</v>
      </c>
      <c r="O124" s="452">
        <f t="shared" ref="O124:AL124" si="14">O125+O128+O131</f>
        <v>0</v>
      </c>
      <c r="P124" s="452">
        <f t="shared" si="14"/>
        <v>0</v>
      </c>
      <c r="Q124" s="452">
        <f t="shared" si="14"/>
        <v>0</v>
      </c>
      <c r="R124" s="452">
        <f t="shared" si="14"/>
        <v>0</v>
      </c>
      <c r="S124" s="452">
        <f t="shared" si="14"/>
        <v>0</v>
      </c>
      <c r="T124" s="452">
        <f t="shared" si="14"/>
        <v>0</v>
      </c>
      <c r="U124" s="452">
        <f t="shared" si="14"/>
        <v>0</v>
      </c>
      <c r="V124" s="452">
        <f t="shared" si="14"/>
        <v>0</v>
      </c>
      <c r="W124" s="452">
        <f t="shared" si="14"/>
        <v>0</v>
      </c>
      <c r="X124" s="452">
        <f t="shared" si="14"/>
        <v>0</v>
      </c>
      <c r="Y124" s="452">
        <f t="shared" si="14"/>
        <v>0</v>
      </c>
      <c r="Z124" s="452">
        <f t="shared" si="14"/>
        <v>0</v>
      </c>
      <c r="AA124" s="452">
        <f t="shared" si="14"/>
        <v>0</v>
      </c>
      <c r="AB124" s="452">
        <f t="shared" si="14"/>
        <v>0</v>
      </c>
      <c r="AC124" s="452">
        <f t="shared" si="14"/>
        <v>0</v>
      </c>
      <c r="AD124" s="452">
        <f t="shared" si="14"/>
        <v>0</v>
      </c>
      <c r="AE124" s="452">
        <f t="shared" si="14"/>
        <v>0</v>
      </c>
      <c r="AF124" s="452">
        <f t="shared" si="14"/>
        <v>0</v>
      </c>
      <c r="AG124" s="452">
        <f t="shared" si="14"/>
        <v>0</v>
      </c>
      <c r="AH124" s="452">
        <f t="shared" si="14"/>
        <v>0</v>
      </c>
      <c r="AI124" s="452">
        <f t="shared" si="14"/>
        <v>0</v>
      </c>
      <c r="AJ124" s="452">
        <f t="shared" si="14"/>
        <v>0</v>
      </c>
      <c r="AK124" s="452">
        <f t="shared" si="14"/>
        <v>0</v>
      </c>
      <c r="AL124" s="452">
        <f t="shared" si="14"/>
        <v>0</v>
      </c>
      <c r="AM124" s="338"/>
    </row>
    <row r="125" spans="1:39" s="86" customFormat="1" outlineLevel="1">
      <c r="A125" s="169" t="str">
        <f t="shared" si="6"/>
        <v>1</v>
      </c>
      <c r="C125" s="86" t="s">
        <v>1676</v>
      </c>
      <c r="L125" s="426" t="s">
        <v>1273</v>
      </c>
      <c r="M125" s="431" t="s">
        <v>331</v>
      </c>
      <c r="N125" s="136" t="s">
        <v>311</v>
      </c>
      <c r="O125" s="452">
        <f t="shared" ref="O125:AL125" si="15">SUM(O126:O127)</f>
        <v>0</v>
      </c>
      <c r="P125" s="452">
        <f t="shared" si="15"/>
        <v>0</v>
      </c>
      <c r="Q125" s="452">
        <f t="shared" si="15"/>
        <v>0</v>
      </c>
      <c r="R125" s="452">
        <f t="shared" si="15"/>
        <v>0</v>
      </c>
      <c r="S125" s="452">
        <f t="shared" si="15"/>
        <v>0</v>
      </c>
      <c r="T125" s="452">
        <f t="shared" si="15"/>
        <v>0</v>
      </c>
      <c r="U125" s="452">
        <f t="shared" si="15"/>
        <v>0</v>
      </c>
      <c r="V125" s="452">
        <f t="shared" si="15"/>
        <v>0</v>
      </c>
      <c r="W125" s="452">
        <f t="shared" si="15"/>
        <v>0</v>
      </c>
      <c r="X125" s="452">
        <f t="shared" si="15"/>
        <v>0</v>
      </c>
      <c r="Y125" s="452">
        <f t="shared" si="15"/>
        <v>0</v>
      </c>
      <c r="Z125" s="452">
        <f t="shared" si="15"/>
        <v>0</v>
      </c>
      <c r="AA125" s="452">
        <f t="shared" si="15"/>
        <v>0</v>
      </c>
      <c r="AB125" s="452">
        <f t="shared" si="15"/>
        <v>0</v>
      </c>
      <c r="AC125" s="452">
        <f t="shared" si="15"/>
        <v>0</v>
      </c>
      <c r="AD125" s="452">
        <f t="shared" si="15"/>
        <v>0</v>
      </c>
      <c r="AE125" s="452">
        <f t="shared" si="15"/>
        <v>0</v>
      </c>
      <c r="AF125" s="452">
        <f t="shared" si="15"/>
        <v>0</v>
      </c>
      <c r="AG125" s="452">
        <f t="shared" si="15"/>
        <v>0</v>
      </c>
      <c r="AH125" s="452">
        <f t="shared" si="15"/>
        <v>0</v>
      </c>
      <c r="AI125" s="452">
        <f t="shared" si="15"/>
        <v>0</v>
      </c>
      <c r="AJ125" s="452">
        <f t="shared" si="15"/>
        <v>0</v>
      </c>
      <c r="AK125" s="452">
        <f t="shared" si="15"/>
        <v>0</v>
      </c>
      <c r="AL125" s="452">
        <f t="shared" si="15"/>
        <v>0</v>
      </c>
      <c r="AM125" s="338"/>
    </row>
    <row r="126" spans="1:39" s="86" customFormat="1" outlineLevel="1">
      <c r="A126" s="169" t="str">
        <f t="shared" si="6"/>
        <v>1</v>
      </c>
      <c r="C126" s="86" t="s">
        <v>1677</v>
      </c>
      <c r="L126" s="426" t="s">
        <v>1274</v>
      </c>
      <c r="M126" s="432" t="s">
        <v>329</v>
      </c>
      <c r="N126" s="136" t="s">
        <v>311</v>
      </c>
      <c r="O126" s="327"/>
      <c r="P126" s="327"/>
      <c r="Q126" s="327"/>
      <c r="R126" s="327"/>
      <c r="S126" s="327"/>
      <c r="T126" s="327"/>
      <c r="U126" s="327"/>
      <c r="V126" s="327"/>
      <c r="W126" s="327"/>
      <c r="X126" s="327"/>
      <c r="Y126" s="327"/>
      <c r="Z126" s="327"/>
      <c r="AA126" s="327"/>
      <c r="AB126" s="327"/>
      <c r="AC126" s="327"/>
      <c r="AD126" s="327"/>
      <c r="AE126" s="327"/>
      <c r="AF126" s="327"/>
      <c r="AG126" s="327"/>
      <c r="AH126" s="327"/>
      <c r="AI126" s="327"/>
      <c r="AJ126" s="327"/>
      <c r="AK126" s="327"/>
      <c r="AL126" s="327"/>
      <c r="AM126" s="338"/>
    </row>
    <row r="127" spans="1:39" s="86" customFormat="1" outlineLevel="1">
      <c r="A127" s="169" t="str">
        <f t="shared" si="6"/>
        <v>1</v>
      </c>
      <c r="C127" s="86" t="s">
        <v>1678</v>
      </c>
      <c r="L127" s="426" t="s">
        <v>1275</v>
      </c>
      <c r="M127" s="432" t="s">
        <v>330</v>
      </c>
      <c r="N127" s="136" t="s">
        <v>311</v>
      </c>
      <c r="O127" s="327"/>
      <c r="P127" s="327"/>
      <c r="Q127" s="327"/>
      <c r="R127" s="327"/>
      <c r="S127" s="327"/>
      <c r="T127" s="327"/>
      <c r="U127" s="327"/>
      <c r="V127" s="327"/>
      <c r="W127" s="327"/>
      <c r="X127" s="327"/>
      <c r="Y127" s="327"/>
      <c r="Z127" s="327"/>
      <c r="AA127" s="327"/>
      <c r="AB127" s="327"/>
      <c r="AC127" s="327"/>
      <c r="AD127" s="327"/>
      <c r="AE127" s="327"/>
      <c r="AF127" s="327"/>
      <c r="AG127" s="327"/>
      <c r="AH127" s="327"/>
      <c r="AI127" s="327"/>
      <c r="AJ127" s="327"/>
      <c r="AK127" s="327"/>
      <c r="AL127" s="327"/>
      <c r="AM127" s="338"/>
    </row>
    <row r="128" spans="1:39" s="86" customFormat="1" outlineLevel="1">
      <c r="A128" s="169" t="str">
        <f t="shared" si="6"/>
        <v>1</v>
      </c>
      <c r="B128" s="86" t="s">
        <v>1136</v>
      </c>
      <c r="C128" s="86" t="s">
        <v>1679</v>
      </c>
      <c r="L128" s="426" t="s">
        <v>1276</v>
      </c>
      <c r="M128" s="431" t="s">
        <v>332</v>
      </c>
      <c r="N128" s="136" t="s">
        <v>311</v>
      </c>
      <c r="O128" s="452">
        <f t="shared" ref="O128:AL128" si="16">SUM(O129:O130)</f>
        <v>0</v>
      </c>
      <c r="P128" s="452">
        <f t="shared" si="16"/>
        <v>0</v>
      </c>
      <c r="Q128" s="452">
        <f t="shared" si="16"/>
        <v>0</v>
      </c>
      <c r="R128" s="452">
        <f t="shared" si="16"/>
        <v>0</v>
      </c>
      <c r="S128" s="452">
        <f t="shared" si="16"/>
        <v>0</v>
      </c>
      <c r="T128" s="452">
        <f t="shared" si="16"/>
        <v>0</v>
      </c>
      <c r="U128" s="452">
        <f t="shared" si="16"/>
        <v>0</v>
      </c>
      <c r="V128" s="452">
        <f t="shared" si="16"/>
        <v>0</v>
      </c>
      <c r="W128" s="452">
        <f t="shared" si="16"/>
        <v>0</v>
      </c>
      <c r="X128" s="452">
        <f t="shared" si="16"/>
        <v>0</v>
      </c>
      <c r="Y128" s="452">
        <f t="shared" si="16"/>
        <v>0</v>
      </c>
      <c r="Z128" s="452">
        <f t="shared" si="16"/>
        <v>0</v>
      </c>
      <c r="AA128" s="452">
        <f t="shared" si="16"/>
        <v>0</v>
      </c>
      <c r="AB128" s="452">
        <f t="shared" si="16"/>
        <v>0</v>
      </c>
      <c r="AC128" s="452">
        <f t="shared" si="16"/>
        <v>0</v>
      </c>
      <c r="AD128" s="452">
        <f t="shared" si="16"/>
        <v>0</v>
      </c>
      <c r="AE128" s="452">
        <f t="shared" si="16"/>
        <v>0</v>
      </c>
      <c r="AF128" s="452">
        <f t="shared" si="16"/>
        <v>0</v>
      </c>
      <c r="AG128" s="452">
        <f t="shared" si="16"/>
        <v>0</v>
      </c>
      <c r="AH128" s="452">
        <f t="shared" si="16"/>
        <v>0</v>
      </c>
      <c r="AI128" s="452">
        <f t="shared" si="16"/>
        <v>0</v>
      </c>
      <c r="AJ128" s="452">
        <f t="shared" si="16"/>
        <v>0</v>
      </c>
      <c r="AK128" s="452">
        <f t="shared" si="16"/>
        <v>0</v>
      </c>
      <c r="AL128" s="452">
        <f t="shared" si="16"/>
        <v>0</v>
      </c>
      <c r="AM128" s="338"/>
    </row>
    <row r="129" spans="1:39" s="86" customFormat="1" outlineLevel="1">
      <c r="A129" s="169" t="str">
        <f t="shared" si="6"/>
        <v>1</v>
      </c>
      <c r="C129" s="86" t="s">
        <v>1680</v>
      </c>
      <c r="L129" s="426" t="s">
        <v>1277</v>
      </c>
      <c r="M129" s="432" t="s">
        <v>329</v>
      </c>
      <c r="N129" s="136" t="s">
        <v>311</v>
      </c>
      <c r="O129" s="327"/>
      <c r="P129" s="327"/>
      <c r="Q129" s="327"/>
      <c r="R129" s="327"/>
      <c r="S129" s="327"/>
      <c r="T129" s="327"/>
      <c r="U129" s="327"/>
      <c r="V129" s="327"/>
      <c r="W129" s="327"/>
      <c r="X129" s="327"/>
      <c r="Y129" s="327"/>
      <c r="Z129" s="327"/>
      <c r="AA129" s="327"/>
      <c r="AB129" s="327"/>
      <c r="AC129" s="327"/>
      <c r="AD129" s="327"/>
      <c r="AE129" s="327"/>
      <c r="AF129" s="327"/>
      <c r="AG129" s="327"/>
      <c r="AH129" s="327"/>
      <c r="AI129" s="327"/>
      <c r="AJ129" s="327"/>
      <c r="AK129" s="327"/>
      <c r="AL129" s="327"/>
      <c r="AM129" s="338"/>
    </row>
    <row r="130" spans="1:39" s="86" customFormat="1" outlineLevel="1">
      <c r="A130" s="169" t="str">
        <f t="shared" si="6"/>
        <v>1</v>
      </c>
      <c r="C130" s="86" t="s">
        <v>1681</v>
      </c>
      <c r="L130" s="426" t="s">
        <v>1278</v>
      </c>
      <c r="M130" s="432" t="s">
        <v>330</v>
      </c>
      <c r="N130" s="136" t="s">
        <v>311</v>
      </c>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38"/>
    </row>
    <row r="131" spans="1:39" s="86" customFormat="1" outlineLevel="1">
      <c r="A131" s="169" t="str">
        <f t="shared" si="6"/>
        <v>1</v>
      </c>
      <c r="C131" s="86" t="s">
        <v>1682</v>
      </c>
      <c r="L131" s="426" t="s">
        <v>1279</v>
      </c>
      <c r="M131" s="431" t="s">
        <v>333</v>
      </c>
      <c r="N131" s="136" t="s">
        <v>311</v>
      </c>
      <c r="O131" s="452">
        <f t="shared" ref="O131:AL131" si="17">SUM(O132:O133)</f>
        <v>0</v>
      </c>
      <c r="P131" s="452">
        <f t="shared" si="17"/>
        <v>0</v>
      </c>
      <c r="Q131" s="452">
        <f t="shared" si="17"/>
        <v>0</v>
      </c>
      <c r="R131" s="452">
        <f t="shared" si="17"/>
        <v>0</v>
      </c>
      <c r="S131" s="452">
        <f t="shared" si="17"/>
        <v>0</v>
      </c>
      <c r="T131" s="452">
        <f t="shared" si="17"/>
        <v>0</v>
      </c>
      <c r="U131" s="452">
        <f t="shared" si="17"/>
        <v>0</v>
      </c>
      <c r="V131" s="452">
        <f t="shared" si="17"/>
        <v>0</v>
      </c>
      <c r="W131" s="452">
        <f t="shared" si="17"/>
        <v>0</v>
      </c>
      <c r="X131" s="452">
        <f t="shared" si="17"/>
        <v>0</v>
      </c>
      <c r="Y131" s="452">
        <f t="shared" si="17"/>
        <v>0</v>
      </c>
      <c r="Z131" s="452">
        <f t="shared" si="17"/>
        <v>0</v>
      </c>
      <c r="AA131" s="452">
        <f t="shared" si="17"/>
        <v>0</v>
      </c>
      <c r="AB131" s="452">
        <f t="shared" si="17"/>
        <v>0</v>
      </c>
      <c r="AC131" s="452">
        <f t="shared" si="17"/>
        <v>0</v>
      </c>
      <c r="AD131" s="452">
        <f t="shared" si="17"/>
        <v>0</v>
      </c>
      <c r="AE131" s="452">
        <f t="shared" si="17"/>
        <v>0</v>
      </c>
      <c r="AF131" s="452">
        <f t="shared" si="17"/>
        <v>0</v>
      </c>
      <c r="AG131" s="452">
        <f t="shared" si="17"/>
        <v>0</v>
      </c>
      <c r="AH131" s="452">
        <f t="shared" si="17"/>
        <v>0</v>
      </c>
      <c r="AI131" s="452">
        <f t="shared" si="17"/>
        <v>0</v>
      </c>
      <c r="AJ131" s="452">
        <f t="shared" si="17"/>
        <v>0</v>
      </c>
      <c r="AK131" s="452">
        <f t="shared" si="17"/>
        <v>0</v>
      </c>
      <c r="AL131" s="452">
        <f t="shared" si="17"/>
        <v>0</v>
      </c>
      <c r="AM131" s="338"/>
    </row>
    <row r="132" spans="1:39" s="86" customFormat="1" outlineLevel="1">
      <c r="A132" s="169" t="str">
        <f t="shared" si="6"/>
        <v>1</v>
      </c>
      <c r="C132" s="86" t="s">
        <v>1683</v>
      </c>
      <c r="L132" s="426" t="s">
        <v>1280</v>
      </c>
      <c r="M132" s="432" t="s">
        <v>329</v>
      </c>
      <c r="N132" s="136" t="s">
        <v>311</v>
      </c>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38"/>
    </row>
    <row r="133" spans="1:39" s="86" customFormat="1" outlineLevel="1">
      <c r="A133" s="169" t="str">
        <f t="shared" si="6"/>
        <v>1</v>
      </c>
      <c r="C133" s="86" t="s">
        <v>1684</v>
      </c>
      <c r="L133" s="426" t="s">
        <v>1281</v>
      </c>
      <c r="M133" s="432" t="s">
        <v>330</v>
      </c>
      <c r="N133" s="136" t="s">
        <v>311</v>
      </c>
      <c r="O133" s="327"/>
      <c r="P133" s="327"/>
      <c r="Q133" s="327"/>
      <c r="R133" s="327"/>
      <c r="S133" s="327"/>
      <c r="T133" s="327"/>
      <c r="U133" s="327"/>
      <c r="V133" s="327"/>
      <c r="W133" s="327"/>
      <c r="X133" s="327"/>
      <c r="Y133" s="327"/>
      <c r="Z133" s="327"/>
      <c r="AA133" s="327"/>
      <c r="AB133" s="327"/>
      <c r="AC133" s="327"/>
      <c r="AD133" s="327"/>
      <c r="AE133" s="327"/>
      <c r="AF133" s="327"/>
      <c r="AG133" s="327"/>
      <c r="AH133" s="327"/>
      <c r="AI133" s="327"/>
      <c r="AJ133" s="327"/>
      <c r="AK133" s="327"/>
      <c r="AL133" s="327"/>
      <c r="AM133" s="179"/>
    </row>
    <row r="134" spans="1:39" s="86" customFormat="1" ht="22.8" outlineLevel="1">
      <c r="A134" s="169" t="str">
        <f t="shared" si="6"/>
        <v>1</v>
      </c>
      <c r="C134" s="86" t="s">
        <v>1685</v>
      </c>
      <c r="L134" s="426" t="s">
        <v>1282</v>
      </c>
      <c r="M134" s="433" t="s">
        <v>1122</v>
      </c>
      <c r="N134" s="397" t="s">
        <v>311</v>
      </c>
      <c r="O134" s="451"/>
      <c r="P134" s="451"/>
      <c r="Q134" s="451"/>
      <c r="R134" s="451"/>
      <c r="S134" s="451"/>
      <c r="T134" s="451"/>
      <c r="U134" s="451"/>
      <c r="V134" s="451"/>
      <c r="W134" s="451"/>
      <c r="X134" s="451"/>
      <c r="Y134" s="451"/>
      <c r="Z134" s="451"/>
      <c r="AA134" s="451"/>
      <c r="AB134" s="451"/>
      <c r="AC134" s="451"/>
      <c r="AD134" s="451"/>
      <c r="AE134" s="451"/>
      <c r="AF134" s="451"/>
      <c r="AG134" s="451"/>
      <c r="AH134" s="451"/>
      <c r="AI134" s="451"/>
      <c r="AJ134" s="451"/>
      <c r="AK134" s="451"/>
      <c r="AL134" s="451"/>
      <c r="AM134" s="179"/>
    </row>
    <row r="135" spans="1:39" s="173" customFormat="1">
      <c r="A135" s="172" t="s">
        <v>1024</v>
      </c>
      <c r="C135" s="484"/>
      <c r="M135" s="3"/>
      <c r="N135" s="3"/>
      <c r="O135" s="454"/>
      <c r="P135" s="454"/>
      <c r="Q135" s="454"/>
      <c r="R135" s="454"/>
      <c r="S135" s="454"/>
      <c r="T135" s="455"/>
      <c r="U135" s="454"/>
      <c r="V135" s="454"/>
      <c r="W135" s="454"/>
      <c r="X135" s="454"/>
      <c r="Y135" s="454"/>
      <c r="Z135" s="454"/>
      <c r="AA135" s="454"/>
      <c r="AB135" s="454"/>
      <c r="AC135" s="454"/>
      <c r="AD135" s="454"/>
      <c r="AE135" s="454"/>
      <c r="AF135" s="454"/>
      <c r="AG135" s="454"/>
      <c r="AH135" s="454"/>
      <c r="AI135" s="454"/>
      <c r="AJ135" s="454"/>
      <c r="AK135" s="454"/>
      <c r="AL135" s="454"/>
    </row>
    <row r="136" spans="1:39" s="86" customFormat="1">
      <c r="A136" s="168" t="s">
        <v>18</v>
      </c>
      <c r="L136" s="148" t="str">
        <f>INDEX('Общие сведения'!$J$114:$J$140,MATCH($A136,'Общие сведения'!$D$114:$D$140,0))</f>
        <v>Тариф 1 (Водоотведение) - тариф на транспортировку сточных вод</v>
      </c>
      <c r="M136" s="144"/>
      <c r="N136" s="144"/>
      <c r="O136" s="456"/>
      <c r="P136" s="456"/>
      <c r="Q136" s="456"/>
      <c r="R136" s="456"/>
      <c r="S136" s="456"/>
      <c r="T136" s="456"/>
      <c r="U136" s="456"/>
      <c r="V136" s="456"/>
      <c r="W136" s="456"/>
      <c r="X136" s="456"/>
      <c r="Y136" s="456"/>
      <c r="Z136" s="456"/>
      <c r="AA136" s="456"/>
      <c r="AB136" s="456"/>
      <c r="AC136" s="456"/>
      <c r="AD136" s="456"/>
      <c r="AE136" s="456"/>
      <c r="AF136" s="456"/>
      <c r="AG136" s="456"/>
      <c r="AH136" s="456"/>
      <c r="AI136" s="456"/>
      <c r="AJ136" s="456"/>
      <c r="AK136" s="456"/>
      <c r="AL136" s="456"/>
      <c r="AM136" s="144"/>
    </row>
    <row r="137" spans="1:39" s="86" customFormat="1" outlineLevel="1">
      <c r="A137" s="169" t="str">
        <f t="shared" ref="A137:A152" si="18">A136</f>
        <v>1</v>
      </c>
      <c r="L137" s="434" t="s">
        <v>18</v>
      </c>
      <c r="M137" s="435" t="s">
        <v>310</v>
      </c>
      <c r="N137" s="174"/>
      <c r="O137" s="471" t="str">
        <f>INDEX('Общие сведения'!$K$114:$K$140,MATCH($A137,'Общие сведения'!$D$114:$D$140,0))</f>
        <v>поверхностные сточные воды</v>
      </c>
      <c r="P137" s="472"/>
      <c r="Q137" s="472"/>
      <c r="R137" s="472"/>
      <c r="S137" s="472"/>
      <c r="T137" s="472"/>
      <c r="U137" s="472"/>
      <c r="V137" s="472"/>
      <c r="W137" s="472"/>
      <c r="X137" s="472"/>
      <c r="Y137" s="472"/>
      <c r="Z137" s="472"/>
      <c r="AA137" s="472"/>
      <c r="AB137" s="472"/>
      <c r="AC137" s="472"/>
      <c r="AD137" s="472"/>
      <c r="AE137" s="472"/>
      <c r="AF137" s="472"/>
      <c r="AG137" s="472"/>
      <c r="AH137" s="472"/>
      <c r="AI137" s="472"/>
      <c r="AJ137" s="472"/>
      <c r="AK137" s="472"/>
      <c r="AL137" s="473"/>
      <c r="AM137" s="179"/>
    </row>
    <row r="138" spans="1:39" s="86" customFormat="1" outlineLevel="1">
      <c r="A138" s="169" t="str">
        <f t="shared" si="18"/>
        <v>1</v>
      </c>
      <c r="C138" s="86" t="s">
        <v>1438</v>
      </c>
      <c r="L138" s="434" t="s">
        <v>102</v>
      </c>
      <c r="M138" s="435" t="s">
        <v>307</v>
      </c>
      <c r="N138" s="138" t="s">
        <v>308</v>
      </c>
      <c r="O138" s="451"/>
      <c r="P138" s="451"/>
      <c r="Q138" s="451"/>
      <c r="R138" s="451"/>
      <c r="S138" s="451"/>
      <c r="T138" s="451"/>
      <c r="U138" s="451"/>
      <c r="V138" s="451"/>
      <c r="W138" s="451"/>
      <c r="X138" s="451"/>
      <c r="Y138" s="451"/>
      <c r="Z138" s="451"/>
      <c r="AA138" s="451"/>
      <c r="AB138" s="451"/>
      <c r="AC138" s="451"/>
      <c r="AD138" s="451"/>
      <c r="AE138" s="451"/>
      <c r="AF138" s="451"/>
      <c r="AG138" s="451"/>
      <c r="AH138" s="451"/>
      <c r="AI138" s="451"/>
      <c r="AJ138" s="451"/>
      <c r="AK138" s="451"/>
      <c r="AL138" s="451"/>
      <c r="AM138" s="179"/>
    </row>
    <row r="139" spans="1:39" s="86" customFormat="1" outlineLevel="1">
      <c r="A139" s="169" t="str">
        <f t="shared" si="18"/>
        <v>1</v>
      </c>
      <c r="C139" s="86" t="s">
        <v>1442</v>
      </c>
      <c r="L139" s="434" t="s">
        <v>103</v>
      </c>
      <c r="M139" s="435" t="s">
        <v>309</v>
      </c>
      <c r="N139" s="138" t="s">
        <v>308</v>
      </c>
      <c r="O139" s="451"/>
      <c r="P139" s="451"/>
      <c r="Q139" s="451"/>
      <c r="R139" s="451"/>
      <c r="S139" s="451"/>
      <c r="T139" s="451"/>
      <c r="U139" s="451"/>
      <c r="V139" s="451"/>
      <c r="W139" s="451"/>
      <c r="X139" s="451"/>
      <c r="Y139" s="451"/>
      <c r="Z139" s="451"/>
      <c r="AA139" s="451"/>
      <c r="AB139" s="451"/>
      <c r="AC139" s="451"/>
      <c r="AD139" s="451"/>
      <c r="AE139" s="451"/>
      <c r="AF139" s="451"/>
      <c r="AG139" s="451"/>
      <c r="AH139" s="451"/>
      <c r="AI139" s="451"/>
      <c r="AJ139" s="451"/>
      <c r="AK139" s="451"/>
      <c r="AL139" s="451"/>
      <c r="AM139" s="179"/>
    </row>
    <row r="140" spans="1:39" s="86" customFormat="1" outlineLevel="1">
      <c r="A140" s="169" t="str">
        <f t="shared" si="18"/>
        <v>1</v>
      </c>
      <c r="C140" s="86" t="s">
        <v>1444</v>
      </c>
      <c r="L140" s="434">
        <v>4</v>
      </c>
      <c r="M140" s="436" t="s">
        <v>336</v>
      </c>
      <c r="N140" s="136" t="s">
        <v>311</v>
      </c>
      <c r="O140" s="457">
        <f t="shared" ref="O140:AL140" si="19">O144+O146+O149+O152</f>
        <v>0</v>
      </c>
      <c r="P140" s="457">
        <f t="shared" si="19"/>
        <v>0</v>
      </c>
      <c r="Q140" s="457">
        <f t="shared" si="19"/>
        <v>0</v>
      </c>
      <c r="R140" s="457">
        <f t="shared" si="19"/>
        <v>0</v>
      </c>
      <c r="S140" s="457">
        <f t="shared" si="19"/>
        <v>0</v>
      </c>
      <c r="T140" s="457">
        <f t="shared" si="19"/>
        <v>0</v>
      </c>
      <c r="U140" s="457">
        <f t="shared" si="19"/>
        <v>0</v>
      </c>
      <c r="V140" s="457">
        <f t="shared" si="19"/>
        <v>0</v>
      </c>
      <c r="W140" s="457">
        <f t="shared" si="19"/>
        <v>0</v>
      </c>
      <c r="X140" s="457">
        <f t="shared" si="19"/>
        <v>0</v>
      </c>
      <c r="Y140" s="457">
        <f t="shared" si="19"/>
        <v>0</v>
      </c>
      <c r="Z140" s="457">
        <f t="shared" si="19"/>
        <v>0</v>
      </c>
      <c r="AA140" s="457">
        <f t="shared" si="19"/>
        <v>0</v>
      </c>
      <c r="AB140" s="457">
        <f t="shared" si="19"/>
        <v>0</v>
      </c>
      <c r="AC140" s="457">
        <f t="shared" si="19"/>
        <v>0</v>
      </c>
      <c r="AD140" s="457">
        <f t="shared" si="19"/>
        <v>0</v>
      </c>
      <c r="AE140" s="457">
        <f t="shared" si="19"/>
        <v>0</v>
      </c>
      <c r="AF140" s="457">
        <f t="shared" si="19"/>
        <v>0</v>
      </c>
      <c r="AG140" s="457">
        <f t="shared" si="19"/>
        <v>0</v>
      </c>
      <c r="AH140" s="457">
        <f t="shared" si="19"/>
        <v>0</v>
      </c>
      <c r="AI140" s="457">
        <f t="shared" si="19"/>
        <v>0</v>
      </c>
      <c r="AJ140" s="457">
        <f t="shared" si="19"/>
        <v>0</v>
      </c>
      <c r="AK140" s="457">
        <f t="shared" si="19"/>
        <v>0</v>
      </c>
      <c r="AL140" s="457">
        <f t="shared" si="19"/>
        <v>0</v>
      </c>
      <c r="AM140" s="179"/>
    </row>
    <row r="141" spans="1:39" s="86" customFormat="1" outlineLevel="1">
      <c r="A141" s="169" t="str">
        <f t="shared" si="18"/>
        <v>1</v>
      </c>
      <c r="C141" s="86" t="s">
        <v>1598</v>
      </c>
      <c r="L141" s="434" t="s">
        <v>140</v>
      </c>
      <c r="M141" s="437" t="s">
        <v>334</v>
      </c>
      <c r="N141" s="136" t="s">
        <v>311</v>
      </c>
      <c r="O141" s="451"/>
      <c r="P141" s="451"/>
      <c r="Q141" s="451"/>
      <c r="R141" s="451"/>
      <c r="S141" s="451"/>
      <c r="T141" s="451"/>
      <c r="U141" s="451"/>
      <c r="V141" s="451"/>
      <c r="W141" s="451"/>
      <c r="X141" s="451"/>
      <c r="Y141" s="451"/>
      <c r="Z141" s="451"/>
      <c r="AA141" s="451"/>
      <c r="AB141" s="451"/>
      <c r="AC141" s="451"/>
      <c r="AD141" s="451"/>
      <c r="AE141" s="451"/>
      <c r="AF141" s="451"/>
      <c r="AG141" s="451"/>
      <c r="AH141" s="451"/>
      <c r="AI141" s="451"/>
      <c r="AJ141" s="451"/>
      <c r="AK141" s="451"/>
      <c r="AL141" s="451"/>
      <c r="AM141" s="179"/>
    </row>
    <row r="142" spans="1:39" s="86" customFormat="1" outlineLevel="1">
      <c r="A142" s="169" t="str">
        <f t="shared" si="18"/>
        <v>1</v>
      </c>
      <c r="C142" s="86" t="s">
        <v>1619</v>
      </c>
      <c r="L142" s="434" t="s">
        <v>373</v>
      </c>
      <c r="M142" s="437" t="s">
        <v>335</v>
      </c>
      <c r="N142" s="136" t="s">
        <v>311</v>
      </c>
      <c r="O142" s="451"/>
      <c r="P142" s="451"/>
      <c r="Q142" s="451"/>
      <c r="R142" s="451"/>
      <c r="S142" s="451"/>
      <c r="T142" s="451"/>
      <c r="U142" s="451"/>
      <c r="V142" s="451"/>
      <c r="W142" s="451"/>
      <c r="X142" s="451"/>
      <c r="Y142" s="451"/>
      <c r="Z142" s="451"/>
      <c r="AA142" s="451"/>
      <c r="AB142" s="451"/>
      <c r="AC142" s="451"/>
      <c r="AD142" s="451"/>
      <c r="AE142" s="451"/>
      <c r="AF142" s="451"/>
      <c r="AG142" s="451"/>
      <c r="AH142" s="451"/>
      <c r="AI142" s="451"/>
      <c r="AJ142" s="451"/>
      <c r="AK142" s="451"/>
      <c r="AL142" s="451"/>
      <c r="AM142" s="179"/>
    </row>
    <row r="143" spans="1:39" s="86" customFormat="1" ht="22.8" outlineLevel="1">
      <c r="A143" s="169" t="str">
        <f t="shared" si="18"/>
        <v>1</v>
      </c>
      <c r="C143" s="86" t="s">
        <v>1635</v>
      </c>
      <c r="L143" s="434" t="s">
        <v>374</v>
      </c>
      <c r="M143" s="437" t="s">
        <v>321</v>
      </c>
      <c r="N143" s="136" t="s">
        <v>311</v>
      </c>
      <c r="O143" s="451"/>
      <c r="P143" s="451"/>
      <c r="Q143" s="451"/>
      <c r="R143" s="451"/>
      <c r="S143" s="451"/>
      <c r="T143" s="451"/>
      <c r="U143" s="451"/>
      <c r="V143" s="451"/>
      <c r="W143" s="451"/>
      <c r="X143" s="451"/>
      <c r="Y143" s="451"/>
      <c r="Z143" s="451"/>
      <c r="AA143" s="451"/>
      <c r="AB143" s="451"/>
      <c r="AC143" s="451"/>
      <c r="AD143" s="451"/>
      <c r="AE143" s="451"/>
      <c r="AF143" s="451"/>
      <c r="AG143" s="451"/>
      <c r="AH143" s="451"/>
      <c r="AI143" s="451"/>
      <c r="AJ143" s="451"/>
      <c r="AK143" s="451"/>
      <c r="AL143" s="451"/>
      <c r="AM143" s="179"/>
    </row>
    <row r="144" spans="1:39" s="86" customFormat="1" outlineLevel="1">
      <c r="A144" s="169" t="str">
        <f t="shared" si="18"/>
        <v>1</v>
      </c>
      <c r="C144" s="86" t="s">
        <v>1446</v>
      </c>
      <c r="L144" s="434" t="s">
        <v>120</v>
      </c>
      <c r="M144" s="435" t="s">
        <v>1158</v>
      </c>
      <c r="N144" s="136" t="s">
        <v>311</v>
      </c>
      <c r="O144" s="451"/>
      <c r="P144" s="451"/>
      <c r="Q144" s="451"/>
      <c r="R144" s="451"/>
      <c r="S144" s="451"/>
      <c r="T144" s="451"/>
      <c r="U144" s="451"/>
      <c r="V144" s="451"/>
      <c r="W144" s="451"/>
      <c r="X144" s="451"/>
      <c r="Y144" s="451"/>
      <c r="Z144" s="451"/>
      <c r="AA144" s="451"/>
      <c r="AB144" s="451"/>
      <c r="AC144" s="451"/>
      <c r="AD144" s="451"/>
      <c r="AE144" s="451"/>
      <c r="AF144" s="451"/>
      <c r="AG144" s="451"/>
      <c r="AH144" s="451"/>
      <c r="AI144" s="451"/>
      <c r="AJ144" s="451"/>
      <c r="AK144" s="451"/>
      <c r="AL144" s="451"/>
      <c r="AM144" s="179"/>
    </row>
    <row r="145" spans="1:39" s="86" customFormat="1" outlineLevel="1">
      <c r="A145" s="169" t="str">
        <f t="shared" si="18"/>
        <v>1</v>
      </c>
      <c r="C145" s="86" t="s">
        <v>1599</v>
      </c>
      <c r="L145" s="426" t="s">
        <v>122</v>
      </c>
      <c r="M145" s="430" t="s">
        <v>322</v>
      </c>
      <c r="N145" s="170" t="s">
        <v>137</v>
      </c>
      <c r="O145" s="453">
        <f t="shared" ref="O145:AL145" si="20">IF(O140=0,0,O144/O140*100)</f>
        <v>0</v>
      </c>
      <c r="P145" s="453">
        <f t="shared" si="20"/>
        <v>0</v>
      </c>
      <c r="Q145" s="453">
        <f t="shared" si="20"/>
        <v>0</v>
      </c>
      <c r="R145" s="453">
        <f t="shared" si="20"/>
        <v>0</v>
      </c>
      <c r="S145" s="453">
        <f t="shared" si="20"/>
        <v>0</v>
      </c>
      <c r="T145" s="453">
        <f t="shared" si="20"/>
        <v>0</v>
      </c>
      <c r="U145" s="453">
        <f t="shared" si="20"/>
        <v>0</v>
      </c>
      <c r="V145" s="453">
        <f t="shared" si="20"/>
        <v>0</v>
      </c>
      <c r="W145" s="453">
        <f t="shared" si="20"/>
        <v>0</v>
      </c>
      <c r="X145" s="453">
        <f t="shared" si="20"/>
        <v>0</v>
      </c>
      <c r="Y145" s="453">
        <f t="shared" si="20"/>
        <v>0</v>
      </c>
      <c r="Z145" s="453">
        <f t="shared" si="20"/>
        <v>0</v>
      </c>
      <c r="AA145" s="453">
        <f t="shared" si="20"/>
        <v>0</v>
      </c>
      <c r="AB145" s="453">
        <f t="shared" si="20"/>
        <v>0</v>
      </c>
      <c r="AC145" s="453">
        <f t="shared" si="20"/>
        <v>0</v>
      </c>
      <c r="AD145" s="453">
        <f t="shared" si="20"/>
        <v>0</v>
      </c>
      <c r="AE145" s="453">
        <f t="shared" si="20"/>
        <v>0</v>
      </c>
      <c r="AF145" s="453">
        <f t="shared" si="20"/>
        <v>0</v>
      </c>
      <c r="AG145" s="453">
        <f t="shared" si="20"/>
        <v>0</v>
      </c>
      <c r="AH145" s="453">
        <f t="shared" si="20"/>
        <v>0</v>
      </c>
      <c r="AI145" s="453">
        <f t="shared" si="20"/>
        <v>0</v>
      </c>
      <c r="AJ145" s="453">
        <f t="shared" si="20"/>
        <v>0</v>
      </c>
      <c r="AK145" s="453">
        <f t="shared" si="20"/>
        <v>0</v>
      </c>
      <c r="AL145" s="453">
        <f t="shared" si="20"/>
        <v>0</v>
      </c>
      <c r="AM145" s="338"/>
    </row>
    <row r="146" spans="1:39" s="86" customFormat="1" outlineLevel="1">
      <c r="A146" s="169" t="str">
        <f>A144</f>
        <v>1</v>
      </c>
      <c r="C146" s="86" t="s">
        <v>1448</v>
      </c>
      <c r="L146" s="434" t="s">
        <v>124</v>
      </c>
      <c r="M146" s="436" t="s">
        <v>324</v>
      </c>
      <c r="N146" s="136" t="s">
        <v>311</v>
      </c>
      <c r="O146" s="457">
        <f t="shared" ref="O146:AL146" si="21">O147+O148</f>
        <v>0</v>
      </c>
      <c r="P146" s="457">
        <f t="shared" si="21"/>
        <v>0</v>
      </c>
      <c r="Q146" s="457">
        <f t="shared" si="21"/>
        <v>0</v>
      </c>
      <c r="R146" s="457">
        <f t="shared" si="21"/>
        <v>0</v>
      </c>
      <c r="S146" s="457">
        <f t="shared" si="21"/>
        <v>0</v>
      </c>
      <c r="T146" s="457">
        <f t="shared" si="21"/>
        <v>0</v>
      </c>
      <c r="U146" s="457">
        <f t="shared" si="21"/>
        <v>0</v>
      </c>
      <c r="V146" s="457">
        <f t="shared" si="21"/>
        <v>0</v>
      </c>
      <c r="W146" s="457">
        <f t="shared" si="21"/>
        <v>0</v>
      </c>
      <c r="X146" s="457">
        <f t="shared" si="21"/>
        <v>0</v>
      </c>
      <c r="Y146" s="457">
        <f t="shared" si="21"/>
        <v>0</v>
      </c>
      <c r="Z146" s="457">
        <f t="shared" si="21"/>
        <v>0</v>
      </c>
      <c r="AA146" s="457">
        <f t="shared" si="21"/>
        <v>0</v>
      </c>
      <c r="AB146" s="457">
        <f t="shared" si="21"/>
        <v>0</v>
      </c>
      <c r="AC146" s="457">
        <f t="shared" si="21"/>
        <v>0</v>
      </c>
      <c r="AD146" s="457">
        <f t="shared" si="21"/>
        <v>0</v>
      </c>
      <c r="AE146" s="457">
        <f t="shared" si="21"/>
        <v>0</v>
      </c>
      <c r="AF146" s="457">
        <f t="shared" si="21"/>
        <v>0</v>
      </c>
      <c r="AG146" s="457">
        <f t="shared" si="21"/>
        <v>0</v>
      </c>
      <c r="AH146" s="457">
        <f t="shared" si="21"/>
        <v>0</v>
      </c>
      <c r="AI146" s="457">
        <f t="shared" si="21"/>
        <v>0</v>
      </c>
      <c r="AJ146" s="457">
        <f t="shared" si="21"/>
        <v>0</v>
      </c>
      <c r="AK146" s="457">
        <f t="shared" si="21"/>
        <v>0</v>
      </c>
      <c r="AL146" s="457">
        <f t="shared" si="21"/>
        <v>0</v>
      </c>
      <c r="AM146" s="179"/>
    </row>
    <row r="147" spans="1:39" s="86" customFormat="1" outlineLevel="1">
      <c r="A147" s="169" t="str">
        <f t="shared" si="18"/>
        <v>1</v>
      </c>
      <c r="C147" s="86" t="s">
        <v>1645</v>
      </c>
      <c r="L147" s="434" t="s">
        <v>179</v>
      </c>
      <c r="M147" s="437" t="s">
        <v>325</v>
      </c>
      <c r="N147" s="136" t="s">
        <v>311</v>
      </c>
      <c r="O147" s="451"/>
      <c r="P147" s="451"/>
      <c r="Q147" s="451"/>
      <c r="R147" s="451"/>
      <c r="S147" s="451"/>
      <c r="T147" s="451"/>
      <c r="U147" s="451"/>
      <c r="V147" s="451"/>
      <c r="W147" s="451"/>
      <c r="X147" s="451"/>
      <c r="Y147" s="451"/>
      <c r="Z147" s="451"/>
      <c r="AA147" s="451"/>
      <c r="AB147" s="451"/>
      <c r="AC147" s="451"/>
      <c r="AD147" s="451"/>
      <c r="AE147" s="451"/>
      <c r="AF147" s="451"/>
      <c r="AG147" s="451"/>
      <c r="AH147" s="451"/>
      <c r="AI147" s="451"/>
      <c r="AJ147" s="451"/>
      <c r="AK147" s="451"/>
      <c r="AL147" s="451"/>
      <c r="AM147" s="179"/>
    </row>
    <row r="148" spans="1:39" s="86" customFormat="1" outlineLevel="1">
      <c r="A148" s="169" t="str">
        <f t="shared" si="18"/>
        <v>1</v>
      </c>
      <c r="C148" s="86" t="s">
        <v>1646</v>
      </c>
      <c r="L148" s="434" t="s">
        <v>180</v>
      </c>
      <c r="M148" s="437" t="s">
        <v>326</v>
      </c>
      <c r="N148" s="136" t="s">
        <v>311</v>
      </c>
      <c r="O148" s="451"/>
      <c r="P148" s="451"/>
      <c r="Q148" s="451"/>
      <c r="R148" s="451"/>
      <c r="S148" s="451"/>
      <c r="T148" s="451"/>
      <c r="U148" s="451"/>
      <c r="V148" s="451"/>
      <c r="W148" s="451"/>
      <c r="X148" s="451"/>
      <c r="Y148" s="451"/>
      <c r="Z148" s="451"/>
      <c r="AA148" s="451"/>
      <c r="AB148" s="451"/>
      <c r="AC148" s="451"/>
      <c r="AD148" s="451"/>
      <c r="AE148" s="451"/>
      <c r="AF148" s="451"/>
      <c r="AG148" s="451"/>
      <c r="AH148" s="451"/>
      <c r="AI148" s="451"/>
      <c r="AJ148" s="451"/>
      <c r="AK148" s="451"/>
      <c r="AL148" s="451"/>
      <c r="AM148" s="179"/>
    </row>
    <row r="149" spans="1:39" s="86" customFormat="1" outlineLevel="1">
      <c r="A149" s="169" t="str">
        <f t="shared" si="18"/>
        <v>1</v>
      </c>
      <c r="B149" s="86" t="s">
        <v>1135</v>
      </c>
      <c r="C149" s="86" t="s">
        <v>1450</v>
      </c>
      <c r="L149" s="434" t="s">
        <v>125</v>
      </c>
      <c r="M149" s="436" t="s">
        <v>328</v>
      </c>
      <c r="N149" s="136" t="s">
        <v>311</v>
      </c>
      <c r="O149" s="457">
        <f t="shared" ref="O149:AL149" si="22">O150+O151</f>
        <v>0</v>
      </c>
      <c r="P149" s="457">
        <f t="shared" si="22"/>
        <v>0</v>
      </c>
      <c r="Q149" s="457">
        <f t="shared" si="22"/>
        <v>0</v>
      </c>
      <c r="R149" s="457">
        <f t="shared" si="22"/>
        <v>0</v>
      </c>
      <c r="S149" s="457">
        <f t="shared" si="22"/>
        <v>0</v>
      </c>
      <c r="T149" s="457">
        <f t="shared" si="22"/>
        <v>0</v>
      </c>
      <c r="U149" s="457">
        <f t="shared" si="22"/>
        <v>0</v>
      </c>
      <c r="V149" s="457">
        <f t="shared" si="22"/>
        <v>0</v>
      </c>
      <c r="W149" s="457">
        <f t="shared" si="22"/>
        <v>0</v>
      </c>
      <c r="X149" s="457">
        <f t="shared" si="22"/>
        <v>0</v>
      </c>
      <c r="Y149" s="457">
        <f t="shared" si="22"/>
        <v>0</v>
      </c>
      <c r="Z149" s="457">
        <f t="shared" si="22"/>
        <v>0</v>
      </c>
      <c r="AA149" s="457">
        <f t="shared" si="22"/>
        <v>0</v>
      </c>
      <c r="AB149" s="457">
        <f t="shared" si="22"/>
        <v>0</v>
      </c>
      <c r="AC149" s="457">
        <f t="shared" si="22"/>
        <v>0</v>
      </c>
      <c r="AD149" s="457">
        <f t="shared" si="22"/>
        <v>0</v>
      </c>
      <c r="AE149" s="457">
        <f t="shared" si="22"/>
        <v>0</v>
      </c>
      <c r="AF149" s="457">
        <f t="shared" si="22"/>
        <v>0</v>
      </c>
      <c r="AG149" s="457">
        <f t="shared" si="22"/>
        <v>0</v>
      </c>
      <c r="AH149" s="457">
        <f t="shared" si="22"/>
        <v>0</v>
      </c>
      <c r="AI149" s="457">
        <f t="shared" si="22"/>
        <v>0</v>
      </c>
      <c r="AJ149" s="457">
        <f t="shared" si="22"/>
        <v>0</v>
      </c>
      <c r="AK149" s="457">
        <f t="shared" si="22"/>
        <v>0</v>
      </c>
      <c r="AL149" s="457">
        <f t="shared" si="22"/>
        <v>0</v>
      </c>
      <c r="AM149" s="179"/>
    </row>
    <row r="150" spans="1:39" s="86" customFormat="1" outlineLevel="1">
      <c r="A150" s="169" t="str">
        <f t="shared" si="18"/>
        <v>1</v>
      </c>
      <c r="C150" s="86" t="s">
        <v>1686</v>
      </c>
      <c r="L150" s="434" t="s">
        <v>181</v>
      </c>
      <c r="M150" s="437" t="s">
        <v>329</v>
      </c>
      <c r="N150" s="136" t="s">
        <v>311</v>
      </c>
      <c r="O150" s="451"/>
      <c r="P150" s="451"/>
      <c r="Q150" s="451"/>
      <c r="R150" s="451"/>
      <c r="S150" s="451"/>
      <c r="T150" s="451"/>
      <c r="U150" s="451"/>
      <c r="V150" s="451"/>
      <c r="W150" s="451"/>
      <c r="X150" s="451"/>
      <c r="Y150" s="451"/>
      <c r="Z150" s="451"/>
      <c r="AA150" s="451"/>
      <c r="AB150" s="451"/>
      <c r="AC150" s="451"/>
      <c r="AD150" s="451"/>
      <c r="AE150" s="451"/>
      <c r="AF150" s="451"/>
      <c r="AG150" s="451"/>
      <c r="AH150" s="451"/>
      <c r="AI150" s="451"/>
      <c r="AJ150" s="451"/>
      <c r="AK150" s="451"/>
      <c r="AL150" s="451"/>
      <c r="AM150" s="179"/>
    </row>
    <row r="151" spans="1:39" s="86" customFormat="1" outlineLevel="1">
      <c r="A151" s="169" t="str">
        <f t="shared" si="18"/>
        <v>1</v>
      </c>
      <c r="C151" s="86" t="s">
        <v>1649</v>
      </c>
      <c r="L151" s="434" t="s">
        <v>182</v>
      </c>
      <c r="M151" s="437" t="s">
        <v>330</v>
      </c>
      <c r="N151" s="136" t="s">
        <v>311</v>
      </c>
      <c r="O151" s="451"/>
      <c r="P151" s="451"/>
      <c r="Q151" s="451"/>
      <c r="R151" s="451"/>
      <c r="S151" s="451"/>
      <c r="T151" s="451"/>
      <c r="U151" s="451"/>
      <c r="V151" s="451"/>
      <c r="W151" s="451"/>
      <c r="X151" s="451"/>
      <c r="Y151" s="451"/>
      <c r="Z151" s="451"/>
      <c r="AA151" s="451"/>
      <c r="AB151" s="451"/>
      <c r="AC151" s="451"/>
      <c r="AD151" s="451"/>
      <c r="AE151" s="451"/>
      <c r="AF151" s="451"/>
      <c r="AG151" s="451"/>
      <c r="AH151" s="451"/>
      <c r="AI151" s="451"/>
      <c r="AJ151" s="451"/>
      <c r="AK151" s="451"/>
      <c r="AL151" s="451"/>
      <c r="AM151" s="179"/>
    </row>
    <row r="152" spans="1:39" s="86" customFormat="1" ht="22.8" outlineLevel="1">
      <c r="A152" s="169" t="str">
        <f t="shared" si="18"/>
        <v>1</v>
      </c>
      <c r="C152" s="86" t="s">
        <v>1452</v>
      </c>
      <c r="L152" s="434" t="s">
        <v>126</v>
      </c>
      <c r="M152" s="438" t="s">
        <v>1122</v>
      </c>
      <c r="N152" s="136" t="s">
        <v>311</v>
      </c>
      <c r="O152" s="451"/>
      <c r="P152" s="451"/>
      <c r="Q152" s="451"/>
      <c r="R152" s="451"/>
      <c r="S152" s="451"/>
      <c r="T152" s="451"/>
      <c r="U152" s="451"/>
      <c r="V152" s="451"/>
      <c r="W152" s="451"/>
      <c r="X152" s="451"/>
      <c r="Y152" s="451"/>
      <c r="Z152" s="451"/>
      <c r="AA152" s="451"/>
      <c r="AB152" s="451"/>
      <c r="AC152" s="451"/>
      <c r="AD152" s="451"/>
      <c r="AE152" s="451"/>
      <c r="AF152" s="451"/>
      <c r="AG152" s="451"/>
      <c r="AH152" s="451"/>
      <c r="AI152" s="451"/>
      <c r="AJ152" s="451"/>
      <c r="AK152" s="451"/>
      <c r="AL152" s="451"/>
      <c r="AM152" s="179"/>
    </row>
    <row r="153" spans="1:39" s="173" customFormat="1">
      <c r="A153" s="172" t="s">
        <v>1025</v>
      </c>
      <c r="C153" s="484"/>
      <c r="M153" s="3"/>
      <c r="N153" s="3"/>
      <c r="O153" s="454"/>
      <c r="P153" s="454"/>
      <c r="Q153" s="454"/>
      <c r="R153" s="454"/>
      <c r="S153" s="454"/>
      <c r="T153" s="455"/>
      <c r="U153" s="454"/>
      <c r="V153" s="454"/>
      <c r="W153" s="454"/>
      <c r="X153" s="454"/>
      <c r="Y153" s="454"/>
      <c r="Z153" s="454"/>
      <c r="AA153" s="454"/>
      <c r="AB153" s="454"/>
      <c r="AC153" s="454"/>
      <c r="AD153" s="454"/>
      <c r="AE153" s="454"/>
      <c r="AF153" s="454"/>
      <c r="AG153" s="454"/>
      <c r="AH153" s="454"/>
      <c r="AI153" s="454"/>
      <c r="AJ153" s="454"/>
      <c r="AK153" s="454"/>
      <c r="AL153" s="454"/>
    </row>
    <row r="154" spans="1:39" s="86" customFormat="1">
      <c r="A154" s="168" t="s">
        <v>18</v>
      </c>
      <c r="L154" s="148" t="str">
        <f>INDEX('Общие сведения'!$J$114:$J$140,MATCH($A154,'Общие сведения'!$D$114:$D$140,0))</f>
        <v>Тариф 1 (Водоотведение) - тариф на транспортировку сточных вод</v>
      </c>
      <c r="M154" s="144"/>
      <c r="N154" s="144"/>
      <c r="O154" s="456"/>
      <c r="P154" s="456"/>
      <c r="Q154" s="456"/>
      <c r="R154" s="456"/>
      <c r="S154" s="456"/>
      <c r="T154" s="456"/>
      <c r="U154" s="456"/>
      <c r="V154" s="456"/>
      <c r="W154" s="456"/>
      <c r="X154" s="456"/>
      <c r="Y154" s="456"/>
      <c r="Z154" s="456"/>
      <c r="AA154" s="456"/>
      <c r="AB154" s="456"/>
      <c r="AC154" s="456"/>
      <c r="AD154" s="456"/>
      <c r="AE154" s="456"/>
      <c r="AF154" s="456"/>
      <c r="AG154" s="456"/>
      <c r="AH154" s="456"/>
      <c r="AI154" s="456"/>
      <c r="AJ154" s="456"/>
      <c r="AK154" s="456"/>
      <c r="AL154" s="456"/>
      <c r="AM154" s="144"/>
    </row>
    <row r="155" spans="1:39" s="86" customFormat="1" outlineLevel="1">
      <c r="A155" s="169" t="str">
        <f t="shared" ref="A155:A179" si="23">A154</f>
        <v>1</v>
      </c>
      <c r="L155" s="434" t="s">
        <v>18</v>
      </c>
      <c r="M155" s="440" t="s">
        <v>337</v>
      </c>
      <c r="N155" s="171"/>
      <c r="O155" s="471" t="str">
        <f>INDEX('Общие сведения'!$K$114:$K$140,MATCH($A155,'Общие сведения'!$D$114:$D$140,0))</f>
        <v>поверхностные сточные воды</v>
      </c>
      <c r="P155" s="472"/>
      <c r="Q155" s="472"/>
      <c r="R155" s="472"/>
      <c r="S155" s="472"/>
      <c r="T155" s="472"/>
      <c r="U155" s="472"/>
      <c r="V155" s="472"/>
      <c r="W155" s="472"/>
      <c r="X155" s="472"/>
      <c r="Y155" s="472"/>
      <c r="Z155" s="472"/>
      <c r="AA155" s="472"/>
      <c r="AB155" s="472"/>
      <c r="AC155" s="472"/>
      <c r="AD155" s="472"/>
      <c r="AE155" s="472"/>
      <c r="AF155" s="472"/>
      <c r="AG155" s="472"/>
      <c r="AH155" s="472"/>
      <c r="AI155" s="472"/>
      <c r="AJ155" s="472"/>
      <c r="AK155" s="472"/>
      <c r="AL155" s="473"/>
      <c r="AM155" s="179"/>
    </row>
    <row r="156" spans="1:39" s="86" customFormat="1" outlineLevel="1">
      <c r="A156" s="169" t="str">
        <f t="shared" si="23"/>
        <v>1</v>
      </c>
      <c r="C156" s="86" t="s">
        <v>1438</v>
      </c>
      <c r="L156" s="434" t="s">
        <v>102</v>
      </c>
      <c r="M156" s="439" t="s">
        <v>307</v>
      </c>
      <c r="N156" s="138" t="s">
        <v>308</v>
      </c>
      <c r="O156" s="451"/>
      <c r="P156" s="451"/>
      <c r="Q156" s="451"/>
      <c r="R156" s="451"/>
      <c r="S156" s="451"/>
      <c r="T156" s="451"/>
      <c r="U156" s="451"/>
      <c r="V156" s="451"/>
      <c r="W156" s="451"/>
      <c r="X156" s="451"/>
      <c r="Y156" s="451"/>
      <c r="Z156" s="451"/>
      <c r="AA156" s="451"/>
      <c r="AB156" s="451"/>
      <c r="AC156" s="451"/>
      <c r="AD156" s="451"/>
      <c r="AE156" s="451"/>
      <c r="AF156" s="451"/>
      <c r="AG156" s="451"/>
      <c r="AH156" s="451"/>
      <c r="AI156" s="451"/>
      <c r="AJ156" s="451"/>
      <c r="AK156" s="451"/>
      <c r="AL156" s="451"/>
      <c r="AM156" s="179"/>
    </row>
    <row r="157" spans="1:39" s="86" customFormat="1" outlineLevel="1">
      <c r="A157" s="169" t="str">
        <f t="shared" si="23"/>
        <v>1</v>
      </c>
      <c r="C157" s="86" t="s">
        <v>1442</v>
      </c>
      <c r="L157" s="434" t="s">
        <v>103</v>
      </c>
      <c r="M157" s="439" t="s">
        <v>309</v>
      </c>
      <c r="N157" s="138" t="s">
        <v>308</v>
      </c>
      <c r="O157" s="451"/>
      <c r="P157" s="451"/>
      <c r="Q157" s="451"/>
      <c r="R157" s="451"/>
      <c r="S157" s="451"/>
      <c r="T157" s="451"/>
      <c r="U157" s="451"/>
      <c r="V157" s="451"/>
      <c r="W157" s="451"/>
      <c r="X157" s="451"/>
      <c r="Y157" s="451"/>
      <c r="Z157" s="451"/>
      <c r="AA157" s="451"/>
      <c r="AB157" s="451"/>
      <c r="AC157" s="451"/>
      <c r="AD157" s="451"/>
      <c r="AE157" s="451"/>
      <c r="AF157" s="451"/>
      <c r="AG157" s="451"/>
      <c r="AH157" s="451"/>
      <c r="AI157" s="451"/>
      <c r="AJ157" s="451"/>
      <c r="AK157" s="451"/>
      <c r="AL157" s="451"/>
      <c r="AM157" s="179"/>
    </row>
    <row r="158" spans="1:39" s="86" customFormat="1" outlineLevel="1">
      <c r="A158" s="169" t="str">
        <f t="shared" si="23"/>
        <v>1</v>
      </c>
      <c r="C158" s="86" t="s">
        <v>1444</v>
      </c>
      <c r="L158" s="434" t="s">
        <v>104</v>
      </c>
      <c r="M158" s="440" t="s">
        <v>338</v>
      </c>
      <c r="N158" s="136" t="s">
        <v>311</v>
      </c>
      <c r="O158" s="458">
        <f>O159+O160+O173</f>
        <v>0</v>
      </c>
      <c r="P158" s="458">
        <f t="shared" ref="P158:AL158" si="24">P159+P160+P173</f>
        <v>0</v>
      </c>
      <c r="Q158" s="458">
        <f t="shared" si="24"/>
        <v>0</v>
      </c>
      <c r="R158" s="458">
        <f t="shared" si="24"/>
        <v>0</v>
      </c>
      <c r="S158" s="458">
        <f t="shared" si="24"/>
        <v>0</v>
      </c>
      <c r="T158" s="458">
        <f t="shared" si="24"/>
        <v>0</v>
      </c>
      <c r="U158" s="458">
        <f t="shared" si="24"/>
        <v>0</v>
      </c>
      <c r="V158" s="458">
        <f t="shared" si="24"/>
        <v>0</v>
      </c>
      <c r="W158" s="458">
        <f t="shared" si="24"/>
        <v>0</v>
      </c>
      <c r="X158" s="458">
        <f t="shared" si="24"/>
        <v>0</v>
      </c>
      <c r="Y158" s="458">
        <f t="shared" si="24"/>
        <v>0</v>
      </c>
      <c r="Z158" s="458">
        <f t="shared" si="24"/>
        <v>0</v>
      </c>
      <c r="AA158" s="458">
        <f t="shared" si="24"/>
        <v>0</v>
      </c>
      <c r="AB158" s="458">
        <f t="shared" si="24"/>
        <v>0</v>
      </c>
      <c r="AC158" s="458">
        <f t="shared" si="24"/>
        <v>0</v>
      </c>
      <c r="AD158" s="458">
        <f t="shared" si="24"/>
        <v>0</v>
      </c>
      <c r="AE158" s="458">
        <f t="shared" si="24"/>
        <v>0</v>
      </c>
      <c r="AF158" s="458">
        <f t="shared" si="24"/>
        <v>0</v>
      </c>
      <c r="AG158" s="458">
        <f t="shared" si="24"/>
        <v>0</v>
      </c>
      <c r="AH158" s="458">
        <f t="shared" si="24"/>
        <v>0</v>
      </c>
      <c r="AI158" s="458">
        <f t="shared" si="24"/>
        <v>0</v>
      </c>
      <c r="AJ158" s="458">
        <f t="shared" si="24"/>
        <v>0</v>
      </c>
      <c r="AK158" s="458">
        <f t="shared" si="24"/>
        <v>0</v>
      </c>
      <c r="AL158" s="458">
        <f t="shared" si="24"/>
        <v>0</v>
      </c>
      <c r="AM158" s="179"/>
    </row>
    <row r="159" spans="1:39" s="86" customFormat="1" outlineLevel="1">
      <c r="A159" s="169" t="str">
        <f t="shared" si="23"/>
        <v>1</v>
      </c>
      <c r="B159" s="86" t="str">
        <f>IF(OwnNeedsInPO="да","ПО","")</f>
        <v>ПО</v>
      </c>
      <c r="C159" s="86" t="s">
        <v>1446</v>
      </c>
      <c r="L159" s="434" t="s">
        <v>120</v>
      </c>
      <c r="M159" s="440" t="s">
        <v>339</v>
      </c>
      <c r="N159" s="136" t="s">
        <v>311</v>
      </c>
      <c r="O159" s="451"/>
      <c r="P159" s="451"/>
      <c r="Q159" s="451"/>
      <c r="R159" s="451"/>
      <c r="S159" s="451"/>
      <c r="T159" s="451"/>
      <c r="U159" s="451"/>
      <c r="V159" s="451"/>
      <c r="W159" s="451"/>
      <c r="X159" s="451"/>
      <c r="Y159" s="451"/>
      <c r="Z159" s="451"/>
      <c r="AA159" s="451"/>
      <c r="AB159" s="451"/>
      <c r="AC159" s="451"/>
      <c r="AD159" s="451"/>
      <c r="AE159" s="451"/>
      <c r="AF159" s="451"/>
      <c r="AG159" s="451"/>
      <c r="AH159" s="451"/>
      <c r="AI159" s="451"/>
      <c r="AJ159" s="451"/>
      <c r="AK159" s="451"/>
      <c r="AL159" s="451"/>
      <c r="AM159" s="179"/>
    </row>
    <row r="160" spans="1:39" s="86" customFormat="1" outlineLevel="1">
      <c r="A160" s="169" t="str">
        <f t="shared" si="23"/>
        <v>1</v>
      </c>
      <c r="B160" s="86" t="s">
        <v>1135</v>
      </c>
      <c r="C160" s="86" t="s">
        <v>1448</v>
      </c>
      <c r="L160" s="434" t="s">
        <v>124</v>
      </c>
      <c r="M160" s="77" t="s">
        <v>340</v>
      </c>
      <c r="N160" s="136" t="s">
        <v>311</v>
      </c>
      <c r="O160" s="457">
        <f>O161+O164+O167+O170</f>
        <v>0</v>
      </c>
      <c r="P160" s="457">
        <f t="shared" ref="P160:AL160" si="25">P161+P164+P167+P170</f>
        <v>0</v>
      </c>
      <c r="Q160" s="457">
        <f t="shared" si="25"/>
        <v>0</v>
      </c>
      <c r="R160" s="457">
        <f t="shared" si="25"/>
        <v>0</v>
      </c>
      <c r="S160" s="457">
        <f t="shared" si="25"/>
        <v>0</v>
      </c>
      <c r="T160" s="457">
        <f t="shared" si="25"/>
        <v>0</v>
      </c>
      <c r="U160" s="457">
        <f t="shared" si="25"/>
        <v>0</v>
      </c>
      <c r="V160" s="457">
        <f t="shared" si="25"/>
        <v>0</v>
      </c>
      <c r="W160" s="457">
        <f t="shared" si="25"/>
        <v>0</v>
      </c>
      <c r="X160" s="457">
        <f t="shared" si="25"/>
        <v>0</v>
      </c>
      <c r="Y160" s="457">
        <f t="shared" si="25"/>
        <v>0</v>
      </c>
      <c r="Z160" s="457">
        <f t="shared" si="25"/>
        <v>0</v>
      </c>
      <c r="AA160" s="457">
        <f t="shared" si="25"/>
        <v>0</v>
      </c>
      <c r="AB160" s="457">
        <f t="shared" si="25"/>
        <v>0</v>
      </c>
      <c r="AC160" s="457">
        <f t="shared" si="25"/>
        <v>0</v>
      </c>
      <c r="AD160" s="457">
        <f t="shared" si="25"/>
        <v>0</v>
      </c>
      <c r="AE160" s="457">
        <f t="shared" si="25"/>
        <v>0</v>
      </c>
      <c r="AF160" s="457">
        <f t="shared" si="25"/>
        <v>0</v>
      </c>
      <c r="AG160" s="457">
        <f t="shared" si="25"/>
        <v>0</v>
      </c>
      <c r="AH160" s="457">
        <f t="shared" si="25"/>
        <v>0</v>
      </c>
      <c r="AI160" s="457">
        <f t="shared" si="25"/>
        <v>0</v>
      </c>
      <c r="AJ160" s="457">
        <f t="shared" si="25"/>
        <v>0</v>
      </c>
      <c r="AK160" s="457">
        <f t="shared" si="25"/>
        <v>0</v>
      </c>
      <c r="AL160" s="457">
        <f t="shared" si="25"/>
        <v>0</v>
      </c>
      <c r="AM160" s="179"/>
    </row>
    <row r="161" spans="1:39" s="86" customFormat="1" outlineLevel="1">
      <c r="A161" s="169" t="str">
        <f t="shared" si="23"/>
        <v>1</v>
      </c>
      <c r="C161" s="86" t="s">
        <v>1645</v>
      </c>
      <c r="L161" s="434" t="s">
        <v>179</v>
      </c>
      <c r="M161" s="163" t="s">
        <v>331</v>
      </c>
      <c r="N161" s="136" t="s">
        <v>311</v>
      </c>
      <c r="O161" s="457">
        <f t="shared" ref="O161:AL161" si="26">O162+O163</f>
        <v>0</v>
      </c>
      <c r="P161" s="457">
        <f t="shared" si="26"/>
        <v>0</v>
      </c>
      <c r="Q161" s="457">
        <f t="shared" si="26"/>
        <v>0</v>
      </c>
      <c r="R161" s="457">
        <f t="shared" si="26"/>
        <v>0</v>
      </c>
      <c r="S161" s="457">
        <f t="shared" si="26"/>
        <v>0</v>
      </c>
      <c r="T161" s="457">
        <f t="shared" si="26"/>
        <v>0</v>
      </c>
      <c r="U161" s="457">
        <f t="shared" si="26"/>
        <v>0</v>
      </c>
      <c r="V161" s="457">
        <f t="shared" si="26"/>
        <v>0</v>
      </c>
      <c r="W161" s="457">
        <f t="shared" si="26"/>
        <v>0</v>
      </c>
      <c r="X161" s="457">
        <f t="shared" si="26"/>
        <v>0</v>
      </c>
      <c r="Y161" s="457">
        <f t="shared" si="26"/>
        <v>0</v>
      </c>
      <c r="Z161" s="457">
        <f t="shared" si="26"/>
        <v>0</v>
      </c>
      <c r="AA161" s="457">
        <f t="shared" si="26"/>
        <v>0</v>
      </c>
      <c r="AB161" s="457">
        <f t="shared" si="26"/>
        <v>0</v>
      </c>
      <c r="AC161" s="457">
        <f t="shared" si="26"/>
        <v>0</v>
      </c>
      <c r="AD161" s="457">
        <f t="shared" si="26"/>
        <v>0</v>
      </c>
      <c r="AE161" s="457">
        <f t="shared" si="26"/>
        <v>0</v>
      </c>
      <c r="AF161" s="457">
        <f t="shared" si="26"/>
        <v>0</v>
      </c>
      <c r="AG161" s="457">
        <f t="shared" si="26"/>
        <v>0</v>
      </c>
      <c r="AH161" s="457">
        <f t="shared" si="26"/>
        <v>0</v>
      </c>
      <c r="AI161" s="457">
        <f t="shared" si="26"/>
        <v>0</v>
      </c>
      <c r="AJ161" s="457">
        <f t="shared" si="26"/>
        <v>0</v>
      </c>
      <c r="AK161" s="457">
        <f t="shared" si="26"/>
        <v>0</v>
      </c>
      <c r="AL161" s="457">
        <f t="shared" si="26"/>
        <v>0</v>
      </c>
      <c r="AM161" s="179"/>
    </row>
    <row r="162" spans="1:39" s="86" customFormat="1" outlineLevel="1">
      <c r="A162" s="169" t="str">
        <f t="shared" si="23"/>
        <v>1</v>
      </c>
      <c r="C162" s="86" t="s">
        <v>1687</v>
      </c>
      <c r="L162" s="434" t="s">
        <v>1283</v>
      </c>
      <c r="M162" s="441" t="s">
        <v>329</v>
      </c>
      <c r="N162" s="136" t="s">
        <v>311</v>
      </c>
      <c r="O162" s="451"/>
      <c r="P162" s="451"/>
      <c r="Q162" s="451"/>
      <c r="R162" s="451"/>
      <c r="S162" s="451"/>
      <c r="T162" s="451"/>
      <c r="U162" s="451"/>
      <c r="V162" s="451"/>
      <c r="W162" s="451"/>
      <c r="X162" s="451"/>
      <c r="Y162" s="451"/>
      <c r="Z162" s="451"/>
      <c r="AA162" s="451"/>
      <c r="AB162" s="451"/>
      <c r="AC162" s="451"/>
      <c r="AD162" s="451"/>
      <c r="AE162" s="451"/>
      <c r="AF162" s="451"/>
      <c r="AG162" s="451"/>
      <c r="AH162" s="451"/>
      <c r="AI162" s="451"/>
      <c r="AJ162" s="451"/>
      <c r="AK162" s="451"/>
      <c r="AL162" s="451"/>
      <c r="AM162" s="179"/>
    </row>
    <row r="163" spans="1:39" s="86" customFormat="1" outlineLevel="1">
      <c r="A163" s="169" t="str">
        <f t="shared" si="23"/>
        <v>1</v>
      </c>
      <c r="C163" s="86" t="s">
        <v>1688</v>
      </c>
      <c r="L163" s="434" t="s">
        <v>1284</v>
      </c>
      <c r="M163" s="441" t="s">
        <v>330</v>
      </c>
      <c r="N163" s="136" t="s">
        <v>311</v>
      </c>
      <c r="O163" s="451"/>
      <c r="P163" s="451"/>
      <c r="Q163" s="451"/>
      <c r="R163" s="451"/>
      <c r="S163" s="451"/>
      <c r="T163" s="451"/>
      <c r="U163" s="451"/>
      <c r="V163" s="451"/>
      <c r="W163" s="451"/>
      <c r="X163" s="451"/>
      <c r="Y163" s="451"/>
      <c r="Z163" s="451"/>
      <c r="AA163" s="451"/>
      <c r="AB163" s="451"/>
      <c r="AC163" s="451"/>
      <c r="AD163" s="451"/>
      <c r="AE163" s="451"/>
      <c r="AF163" s="451"/>
      <c r="AG163" s="451"/>
      <c r="AH163" s="451"/>
      <c r="AI163" s="451"/>
      <c r="AJ163" s="451"/>
      <c r="AK163" s="451"/>
      <c r="AL163" s="451"/>
      <c r="AM163" s="179"/>
    </row>
    <row r="164" spans="1:39" s="86" customFormat="1" outlineLevel="1">
      <c r="A164" s="169" t="str">
        <f t="shared" si="23"/>
        <v>1</v>
      </c>
      <c r="B164" s="86" t="s">
        <v>1136</v>
      </c>
      <c r="C164" s="86" t="s">
        <v>1646</v>
      </c>
      <c r="L164" s="434" t="s">
        <v>180</v>
      </c>
      <c r="M164" s="163" t="s">
        <v>332</v>
      </c>
      <c r="N164" s="136" t="s">
        <v>311</v>
      </c>
      <c r="O164" s="457">
        <f t="shared" ref="O164:AL164" si="27">O165+O166</f>
        <v>0</v>
      </c>
      <c r="P164" s="457">
        <f t="shared" si="27"/>
        <v>0</v>
      </c>
      <c r="Q164" s="457">
        <f t="shared" si="27"/>
        <v>0</v>
      </c>
      <c r="R164" s="457">
        <f t="shared" si="27"/>
        <v>0</v>
      </c>
      <c r="S164" s="457">
        <f t="shared" si="27"/>
        <v>0</v>
      </c>
      <c r="T164" s="457">
        <f t="shared" si="27"/>
        <v>0</v>
      </c>
      <c r="U164" s="457">
        <f t="shared" si="27"/>
        <v>0</v>
      </c>
      <c r="V164" s="457">
        <f t="shared" si="27"/>
        <v>0</v>
      </c>
      <c r="W164" s="457">
        <f t="shared" si="27"/>
        <v>0</v>
      </c>
      <c r="X164" s="457">
        <f t="shared" si="27"/>
        <v>0</v>
      </c>
      <c r="Y164" s="457">
        <f t="shared" si="27"/>
        <v>0</v>
      </c>
      <c r="Z164" s="457">
        <f t="shared" si="27"/>
        <v>0</v>
      </c>
      <c r="AA164" s="457">
        <f t="shared" si="27"/>
        <v>0</v>
      </c>
      <c r="AB164" s="457">
        <f t="shared" si="27"/>
        <v>0</v>
      </c>
      <c r="AC164" s="457">
        <f t="shared" si="27"/>
        <v>0</v>
      </c>
      <c r="AD164" s="457">
        <f t="shared" si="27"/>
        <v>0</v>
      </c>
      <c r="AE164" s="457">
        <f t="shared" si="27"/>
        <v>0</v>
      </c>
      <c r="AF164" s="457">
        <f t="shared" si="27"/>
        <v>0</v>
      </c>
      <c r="AG164" s="457">
        <f t="shared" si="27"/>
        <v>0</v>
      </c>
      <c r="AH164" s="457">
        <f t="shared" si="27"/>
        <v>0</v>
      </c>
      <c r="AI164" s="457">
        <f t="shared" si="27"/>
        <v>0</v>
      </c>
      <c r="AJ164" s="457">
        <f t="shared" si="27"/>
        <v>0</v>
      </c>
      <c r="AK164" s="457">
        <f t="shared" si="27"/>
        <v>0</v>
      </c>
      <c r="AL164" s="457">
        <f t="shared" si="27"/>
        <v>0</v>
      </c>
      <c r="AM164" s="179"/>
    </row>
    <row r="165" spans="1:39" s="86" customFormat="1" outlineLevel="1">
      <c r="A165" s="169" t="str">
        <f t="shared" si="23"/>
        <v>1</v>
      </c>
      <c r="C165" s="86" t="s">
        <v>1689</v>
      </c>
      <c r="L165" s="434" t="s">
        <v>1285</v>
      </c>
      <c r="M165" s="441" t="s">
        <v>329</v>
      </c>
      <c r="N165" s="136" t="s">
        <v>311</v>
      </c>
      <c r="O165" s="451"/>
      <c r="P165" s="451"/>
      <c r="Q165" s="451"/>
      <c r="R165" s="451"/>
      <c r="S165" s="451"/>
      <c r="T165" s="451"/>
      <c r="U165" s="451"/>
      <c r="V165" s="451"/>
      <c r="W165" s="451"/>
      <c r="X165" s="451"/>
      <c r="Y165" s="451"/>
      <c r="Z165" s="451"/>
      <c r="AA165" s="451"/>
      <c r="AB165" s="451"/>
      <c r="AC165" s="451"/>
      <c r="AD165" s="451"/>
      <c r="AE165" s="451"/>
      <c r="AF165" s="451"/>
      <c r="AG165" s="451"/>
      <c r="AH165" s="451"/>
      <c r="AI165" s="451"/>
      <c r="AJ165" s="451"/>
      <c r="AK165" s="451"/>
      <c r="AL165" s="451"/>
      <c r="AM165" s="179"/>
    </row>
    <row r="166" spans="1:39" s="86" customFormat="1" outlineLevel="1">
      <c r="A166" s="169" t="str">
        <f t="shared" si="23"/>
        <v>1</v>
      </c>
      <c r="C166" s="86" t="s">
        <v>1690</v>
      </c>
      <c r="L166" s="434" t="s">
        <v>1286</v>
      </c>
      <c r="M166" s="441" t="s">
        <v>330</v>
      </c>
      <c r="N166" s="136" t="s">
        <v>311</v>
      </c>
      <c r="O166" s="451"/>
      <c r="P166" s="451"/>
      <c r="Q166" s="451"/>
      <c r="R166" s="451"/>
      <c r="S166" s="451"/>
      <c r="T166" s="451"/>
      <c r="U166" s="451"/>
      <c r="V166" s="451"/>
      <c r="W166" s="451"/>
      <c r="X166" s="451"/>
      <c r="Y166" s="451"/>
      <c r="Z166" s="451"/>
      <c r="AA166" s="451"/>
      <c r="AB166" s="451"/>
      <c r="AC166" s="451"/>
      <c r="AD166" s="451"/>
      <c r="AE166" s="451"/>
      <c r="AF166" s="451"/>
      <c r="AG166" s="451"/>
      <c r="AH166" s="451"/>
      <c r="AI166" s="451"/>
      <c r="AJ166" s="451"/>
      <c r="AK166" s="451"/>
      <c r="AL166" s="451"/>
      <c r="AM166" s="179"/>
    </row>
    <row r="167" spans="1:39" s="86" customFormat="1" outlineLevel="1">
      <c r="A167" s="169" t="str">
        <f t="shared" si="23"/>
        <v>1</v>
      </c>
      <c r="C167" s="86" t="s">
        <v>1647</v>
      </c>
      <c r="L167" s="434" t="s">
        <v>382</v>
      </c>
      <c r="M167" s="163" t="s">
        <v>333</v>
      </c>
      <c r="N167" s="136" t="s">
        <v>311</v>
      </c>
      <c r="O167" s="457">
        <f t="shared" ref="O167:AL167" si="28">O168+O169</f>
        <v>0</v>
      </c>
      <c r="P167" s="457">
        <f t="shared" si="28"/>
        <v>0</v>
      </c>
      <c r="Q167" s="457">
        <f t="shared" si="28"/>
        <v>0</v>
      </c>
      <c r="R167" s="457">
        <f t="shared" si="28"/>
        <v>0</v>
      </c>
      <c r="S167" s="457">
        <f t="shared" si="28"/>
        <v>0</v>
      </c>
      <c r="T167" s="457">
        <f t="shared" si="28"/>
        <v>0</v>
      </c>
      <c r="U167" s="457">
        <f t="shared" si="28"/>
        <v>0</v>
      </c>
      <c r="V167" s="457">
        <f t="shared" si="28"/>
        <v>0</v>
      </c>
      <c r="W167" s="457">
        <f t="shared" si="28"/>
        <v>0</v>
      </c>
      <c r="X167" s="457">
        <f t="shared" si="28"/>
        <v>0</v>
      </c>
      <c r="Y167" s="457">
        <f t="shared" si="28"/>
        <v>0</v>
      </c>
      <c r="Z167" s="457">
        <f t="shared" si="28"/>
        <v>0</v>
      </c>
      <c r="AA167" s="457">
        <f t="shared" si="28"/>
        <v>0</v>
      </c>
      <c r="AB167" s="457">
        <f t="shared" si="28"/>
        <v>0</v>
      </c>
      <c r="AC167" s="457">
        <f t="shared" si="28"/>
        <v>0</v>
      </c>
      <c r="AD167" s="457">
        <f t="shared" si="28"/>
        <v>0</v>
      </c>
      <c r="AE167" s="457">
        <f t="shared" si="28"/>
        <v>0</v>
      </c>
      <c r="AF167" s="457">
        <f t="shared" si="28"/>
        <v>0</v>
      </c>
      <c r="AG167" s="457">
        <f t="shared" si="28"/>
        <v>0</v>
      </c>
      <c r="AH167" s="457">
        <f t="shared" si="28"/>
        <v>0</v>
      </c>
      <c r="AI167" s="457">
        <f t="shared" si="28"/>
        <v>0</v>
      </c>
      <c r="AJ167" s="457">
        <f t="shared" si="28"/>
        <v>0</v>
      </c>
      <c r="AK167" s="457">
        <f t="shared" si="28"/>
        <v>0</v>
      </c>
      <c r="AL167" s="457">
        <f t="shared" si="28"/>
        <v>0</v>
      </c>
      <c r="AM167" s="179"/>
    </row>
    <row r="168" spans="1:39" s="86" customFormat="1" outlineLevel="1">
      <c r="A168" s="169" t="str">
        <f t="shared" si="23"/>
        <v>1</v>
      </c>
      <c r="C168" s="86" t="s">
        <v>1691</v>
      </c>
      <c r="L168" s="434" t="s">
        <v>1287</v>
      </c>
      <c r="M168" s="441" t="s">
        <v>329</v>
      </c>
      <c r="N168" s="136" t="s">
        <v>311</v>
      </c>
      <c r="O168" s="451"/>
      <c r="P168" s="451"/>
      <c r="Q168" s="451"/>
      <c r="R168" s="451"/>
      <c r="S168" s="451"/>
      <c r="T168" s="451"/>
      <c r="U168" s="451"/>
      <c r="V168" s="451"/>
      <c r="W168" s="451"/>
      <c r="X168" s="451"/>
      <c r="Y168" s="451"/>
      <c r="Z168" s="451"/>
      <c r="AA168" s="451"/>
      <c r="AB168" s="451"/>
      <c r="AC168" s="451"/>
      <c r="AD168" s="451"/>
      <c r="AE168" s="451"/>
      <c r="AF168" s="451"/>
      <c r="AG168" s="451"/>
      <c r="AH168" s="451"/>
      <c r="AI168" s="451"/>
      <c r="AJ168" s="451"/>
      <c r="AK168" s="451"/>
      <c r="AL168" s="451"/>
      <c r="AM168" s="179"/>
    </row>
    <row r="169" spans="1:39" s="86" customFormat="1" outlineLevel="1">
      <c r="A169" s="169" t="str">
        <f t="shared" si="23"/>
        <v>1</v>
      </c>
      <c r="C169" s="86" t="s">
        <v>1692</v>
      </c>
      <c r="L169" s="434" t="s">
        <v>1288</v>
      </c>
      <c r="M169" s="441" t="s">
        <v>330</v>
      </c>
      <c r="N169" s="136" t="s">
        <v>311</v>
      </c>
      <c r="O169" s="451"/>
      <c r="P169" s="451"/>
      <c r="Q169" s="451"/>
      <c r="R169" s="451"/>
      <c r="S169" s="451"/>
      <c r="T169" s="451"/>
      <c r="U169" s="451"/>
      <c r="V169" s="451"/>
      <c r="W169" s="451"/>
      <c r="X169" s="451"/>
      <c r="Y169" s="451"/>
      <c r="Z169" s="451"/>
      <c r="AA169" s="451"/>
      <c r="AB169" s="451"/>
      <c r="AC169" s="451"/>
      <c r="AD169" s="451"/>
      <c r="AE169" s="451"/>
      <c r="AF169" s="451"/>
      <c r="AG169" s="451"/>
      <c r="AH169" s="451"/>
      <c r="AI169" s="451"/>
      <c r="AJ169" s="451"/>
      <c r="AK169" s="451"/>
      <c r="AL169" s="451"/>
      <c r="AM169" s="179"/>
    </row>
    <row r="170" spans="1:39" s="86" customFormat="1" outlineLevel="1">
      <c r="A170" s="169" t="str">
        <f t="shared" si="23"/>
        <v>1</v>
      </c>
      <c r="C170" s="86" t="s">
        <v>1648</v>
      </c>
      <c r="L170" s="434" t="s">
        <v>383</v>
      </c>
      <c r="M170" s="163" t="s">
        <v>341</v>
      </c>
      <c r="N170" s="136" t="s">
        <v>311</v>
      </c>
      <c r="O170" s="457">
        <f t="shared" ref="O170:AL170" si="29">O171+O172</f>
        <v>0</v>
      </c>
      <c r="P170" s="457">
        <f t="shared" si="29"/>
        <v>0</v>
      </c>
      <c r="Q170" s="457">
        <f t="shared" si="29"/>
        <v>0</v>
      </c>
      <c r="R170" s="457">
        <f t="shared" si="29"/>
        <v>0</v>
      </c>
      <c r="S170" s="457">
        <f t="shared" si="29"/>
        <v>0</v>
      </c>
      <c r="T170" s="457">
        <f t="shared" si="29"/>
        <v>0</v>
      </c>
      <c r="U170" s="457">
        <f t="shared" si="29"/>
        <v>0</v>
      </c>
      <c r="V170" s="457">
        <f t="shared" si="29"/>
        <v>0</v>
      </c>
      <c r="W170" s="457">
        <f t="shared" si="29"/>
        <v>0</v>
      </c>
      <c r="X170" s="457">
        <f t="shared" si="29"/>
        <v>0</v>
      </c>
      <c r="Y170" s="457">
        <f t="shared" si="29"/>
        <v>0</v>
      </c>
      <c r="Z170" s="457">
        <f t="shared" si="29"/>
        <v>0</v>
      </c>
      <c r="AA170" s="457">
        <f t="shared" si="29"/>
        <v>0</v>
      </c>
      <c r="AB170" s="457">
        <f t="shared" si="29"/>
        <v>0</v>
      </c>
      <c r="AC170" s="457">
        <f t="shared" si="29"/>
        <v>0</v>
      </c>
      <c r="AD170" s="457">
        <f t="shared" si="29"/>
        <v>0</v>
      </c>
      <c r="AE170" s="457">
        <f t="shared" si="29"/>
        <v>0</v>
      </c>
      <c r="AF170" s="457">
        <f t="shared" si="29"/>
        <v>0</v>
      </c>
      <c r="AG170" s="457">
        <f t="shared" si="29"/>
        <v>0</v>
      </c>
      <c r="AH170" s="457">
        <f t="shared" si="29"/>
        <v>0</v>
      </c>
      <c r="AI170" s="457">
        <f t="shared" si="29"/>
        <v>0</v>
      </c>
      <c r="AJ170" s="457">
        <f t="shared" si="29"/>
        <v>0</v>
      </c>
      <c r="AK170" s="457">
        <f t="shared" si="29"/>
        <v>0</v>
      </c>
      <c r="AL170" s="457">
        <f t="shared" si="29"/>
        <v>0</v>
      </c>
      <c r="AM170" s="179"/>
    </row>
    <row r="171" spans="1:39" s="86" customFormat="1" outlineLevel="1">
      <c r="A171" s="169" t="str">
        <f t="shared" si="23"/>
        <v>1</v>
      </c>
      <c r="C171" s="86" t="s">
        <v>1693</v>
      </c>
      <c r="L171" s="434" t="s">
        <v>1289</v>
      </c>
      <c r="M171" s="431" t="s">
        <v>329</v>
      </c>
      <c r="N171" s="136" t="s">
        <v>311</v>
      </c>
      <c r="O171" s="451"/>
      <c r="P171" s="451"/>
      <c r="Q171" s="451"/>
      <c r="R171" s="451"/>
      <c r="S171" s="451"/>
      <c r="T171" s="451"/>
      <c r="U171" s="451"/>
      <c r="V171" s="451"/>
      <c r="W171" s="451"/>
      <c r="X171" s="451"/>
      <c r="Y171" s="451"/>
      <c r="Z171" s="451"/>
      <c r="AA171" s="451"/>
      <c r="AB171" s="451"/>
      <c r="AC171" s="451"/>
      <c r="AD171" s="451"/>
      <c r="AE171" s="451"/>
      <c r="AF171" s="451"/>
      <c r="AG171" s="451"/>
      <c r="AH171" s="451"/>
      <c r="AI171" s="451"/>
      <c r="AJ171" s="451"/>
      <c r="AK171" s="451"/>
      <c r="AL171" s="451"/>
      <c r="AM171" s="179"/>
    </row>
    <row r="172" spans="1:39" s="86" customFormat="1" outlineLevel="1">
      <c r="A172" s="169" t="str">
        <f t="shared" si="23"/>
        <v>1</v>
      </c>
      <c r="C172" s="86" t="s">
        <v>1694</v>
      </c>
      <c r="L172" s="434" t="s">
        <v>1290</v>
      </c>
      <c r="M172" s="431" t="s">
        <v>330</v>
      </c>
      <c r="N172" s="136" t="s">
        <v>311</v>
      </c>
      <c r="O172" s="451"/>
      <c r="P172" s="451"/>
      <c r="Q172" s="451"/>
      <c r="R172" s="451"/>
      <c r="S172" s="451"/>
      <c r="T172" s="451"/>
      <c r="U172" s="451"/>
      <c r="V172" s="451"/>
      <c r="W172" s="451"/>
      <c r="X172" s="451"/>
      <c r="Y172" s="451"/>
      <c r="Z172" s="451"/>
      <c r="AA172" s="451"/>
      <c r="AB172" s="451"/>
      <c r="AC172" s="451"/>
      <c r="AD172" s="451"/>
      <c r="AE172" s="451"/>
      <c r="AF172" s="451"/>
      <c r="AG172" s="451"/>
      <c r="AH172" s="451"/>
      <c r="AI172" s="451"/>
      <c r="AJ172" s="451"/>
      <c r="AK172" s="451"/>
      <c r="AL172" s="451"/>
      <c r="AM172" s="179"/>
    </row>
    <row r="173" spans="1:39" s="86" customFormat="1" ht="22.8" outlineLevel="1">
      <c r="A173" s="169" t="str">
        <f>A171</f>
        <v>1</v>
      </c>
      <c r="C173" s="86" t="s">
        <v>1695</v>
      </c>
      <c r="L173" s="434" t="s">
        <v>384</v>
      </c>
      <c r="M173" s="442" t="s">
        <v>1138</v>
      </c>
      <c r="N173" s="397" t="s">
        <v>311</v>
      </c>
      <c r="O173" s="451"/>
      <c r="P173" s="451"/>
      <c r="Q173" s="451"/>
      <c r="R173" s="451"/>
      <c r="S173" s="451"/>
      <c r="T173" s="451"/>
      <c r="U173" s="451"/>
      <c r="V173" s="451"/>
      <c r="W173" s="451"/>
      <c r="X173" s="451"/>
      <c r="Y173" s="451"/>
      <c r="Z173" s="451"/>
      <c r="AA173" s="451"/>
      <c r="AB173" s="451"/>
      <c r="AC173" s="451"/>
      <c r="AD173" s="451"/>
      <c r="AE173" s="451"/>
      <c r="AF173" s="451"/>
      <c r="AG173" s="451"/>
      <c r="AH173" s="451"/>
      <c r="AI173" s="451"/>
      <c r="AJ173" s="451"/>
      <c r="AK173" s="451"/>
      <c r="AL173" s="451"/>
      <c r="AM173" s="179"/>
    </row>
    <row r="174" spans="1:39" s="86" customFormat="1" outlineLevel="1">
      <c r="A174" s="169" t="str">
        <f>A172</f>
        <v>1</v>
      </c>
      <c r="C174" s="86" t="s">
        <v>1450</v>
      </c>
      <c r="L174" s="434" t="s">
        <v>125</v>
      </c>
      <c r="M174" s="440" t="s">
        <v>342</v>
      </c>
      <c r="N174" s="136" t="s">
        <v>311</v>
      </c>
      <c r="O174" s="451"/>
      <c r="P174" s="451"/>
      <c r="Q174" s="451"/>
      <c r="R174" s="451"/>
      <c r="S174" s="451"/>
      <c r="T174" s="451"/>
      <c r="U174" s="451"/>
      <c r="V174" s="451"/>
      <c r="W174" s="451"/>
      <c r="X174" s="451"/>
      <c r="Y174" s="451"/>
      <c r="Z174" s="451"/>
      <c r="AA174" s="451"/>
      <c r="AB174" s="451"/>
      <c r="AC174" s="451"/>
      <c r="AD174" s="451"/>
      <c r="AE174" s="451"/>
      <c r="AF174" s="451"/>
      <c r="AG174" s="451"/>
      <c r="AH174" s="451"/>
      <c r="AI174" s="451"/>
      <c r="AJ174" s="451"/>
      <c r="AK174" s="451"/>
      <c r="AL174" s="451"/>
      <c r="AM174" s="179"/>
    </row>
    <row r="175" spans="1:39" s="86" customFormat="1" outlineLevel="1">
      <c r="A175" s="169" t="str">
        <f t="shared" si="23"/>
        <v>1</v>
      </c>
      <c r="C175" s="86" t="s">
        <v>1452</v>
      </c>
      <c r="L175" s="434" t="s">
        <v>126</v>
      </c>
      <c r="M175" s="440" t="s">
        <v>343</v>
      </c>
      <c r="N175" s="136" t="s">
        <v>311</v>
      </c>
      <c r="O175" s="451"/>
      <c r="P175" s="451"/>
      <c r="Q175" s="451"/>
      <c r="R175" s="451"/>
      <c r="S175" s="451"/>
      <c r="T175" s="451"/>
      <c r="U175" s="451"/>
      <c r="V175" s="451"/>
      <c r="W175" s="451"/>
      <c r="X175" s="451"/>
      <c r="Y175" s="451"/>
      <c r="Z175" s="451"/>
      <c r="AA175" s="451"/>
      <c r="AB175" s="451"/>
      <c r="AC175" s="451"/>
      <c r="AD175" s="451"/>
      <c r="AE175" s="451"/>
      <c r="AF175" s="451"/>
      <c r="AG175" s="451"/>
      <c r="AH175" s="451"/>
      <c r="AI175" s="451"/>
      <c r="AJ175" s="451"/>
      <c r="AK175" s="451"/>
      <c r="AL175" s="451"/>
      <c r="AM175" s="179"/>
    </row>
    <row r="176" spans="1:39" s="86" customFormat="1" outlineLevel="1">
      <c r="A176" s="169" t="str">
        <f t="shared" si="23"/>
        <v>1</v>
      </c>
      <c r="C176" s="86" t="s">
        <v>1456</v>
      </c>
      <c r="L176" s="434" t="s">
        <v>127</v>
      </c>
      <c r="M176" s="440" t="s">
        <v>1096</v>
      </c>
      <c r="N176" s="136" t="s">
        <v>311</v>
      </c>
      <c r="O176" s="451"/>
      <c r="P176" s="451"/>
      <c r="Q176" s="451"/>
      <c r="R176" s="451"/>
      <c r="S176" s="451"/>
      <c r="T176" s="451"/>
      <c r="U176" s="451"/>
      <c r="V176" s="451"/>
      <c r="W176" s="451"/>
      <c r="X176" s="451"/>
      <c r="Y176" s="451"/>
      <c r="Z176" s="451"/>
      <c r="AA176" s="451"/>
      <c r="AB176" s="451"/>
      <c r="AC176" s="451"/>
      <c r="AD176" s="451"/>
      <c r="AE176" s="451"/>
      <c r="AF176" s="451"/>
      <c r="AG176" s="451"/>
      <c r="AH176" s="451"/>
      <c r="AI176" s="451"/>
      <c r="AJ176" s="451"/>
      <c r="AK176" s="451"/>
      <c r="AL176" s="451"/>
      <c r="AM176" s="179"/>
    </row>
    <row r="177" spans="1:39" s="86" customFormat="1" outlineLevel="1">
      <c r="A177" s="169" t="str">
        <f t="shared" si="23"/>
        <v>1</v>
      </c>
      <c r="C177" s="86" t="s">
        <v>1458</v>
      </c>
      <c r="L177" s="434" t="s">
        <v>128</v>
      </c>
      <c r="M177" s="77" t="s">
        <v>344</v>
      </c>
      <c r="N177" s="136" t="s">
        <v>311</v>
      </c>
      <c r="O177" s="457">
        <f t="shared" ref="O177:AL177" si="30">O178+O179</f>
        <v>0</v>
      </c>
      <c r="P177" s="457">
        <f t="shared" si="30"/>
        <v>0</v>
      </c>
      <c r="Q177" s="457">
        <f t="shared" si="30"/>
        <v>0</v>
      </c>
      <c r="R177" s="457">
        <f t="shared" si="30"/>
        <v>0</v>
      </c>
      <c r="S177" s="457">
        <f t="shared" si="30"/>
        <v>0</v>
      </c>
      <c r="T177" s="457">
        <f t="shared" si="30"/>
        <v>0</v>
      </c>
      <c r="U177" s="457">
        <f t="shared" si="30"/>
        <v>0</v>
      </c>
      <c r="V177" s="457">
        <f t="shared" si="30"/>
        <v>0</v>
      </c>
      <c r="W177" s="457">
        <f t="shared" si="30"/>
        <v>0</v>
      </c>
      <c r="X177" s="457">
        <f t="shared" si="30"/>
        <v>0</v>
      </c>
      <c r="Y177" s="457">
        <f t="shared" si="30"/>
        <v>0</v>
      </c>
      <c r="Z177" s="457">
        <f t="shared" si="30"/>
        <v>0</v>
      </c>
      <c r="AA177" s="457">
        <f t="shared" si="30"/>
        <v>0</v>
      </c>
      <c r="AB177" s="457">
        <f t="shared" si="30"/>
        <v>0</v>
      </c>
      <c r="AC177" s="457">
        <f t="shared" si="30"/>
        <v>0</v>
      </c>
      <c r="AD177" s="457">
        <f t="shared" si="30"/>
        <v>0</v>
      </c>
      <c r="AE177" s="457">
        <f t="shared" si="30"/>
        <v>0</v>
      </c>
      <c r="AF177" s="457">
        <f t="shared" si="30"/>
        <v>0</v>
      </c>
      <c r="AG177" s="457">
        <f t="shared" si="30"/>
        <v>0</v>
      </c>
      <c r="AH177" s="457">
        <f t="shared" si="30"/>
        <v>0</v>
      </c>
      <c r="AI177" s="457">
        <f t="shared" si="30"/>
        <v>0</v>
      </c>
      <c r="AJ177" s="457">
        <f t="shared" si="30"/>
        <v>0</v>
      </c>
      <c r="AK177" s="457">
        <f t="shared" si="30"/>
        <v>0</v>
      </c>
      <c r="AL177" s="457">
        <f t="shared" si="30"/>
        <v>0</v>
      </c>
      <c r="AM177" s="179"/>
    </row>
    <row r="178" spans="1:39" s="86" customFormat="1" outlineLevel="1">
      <c r="A178" s="169" t="str">
        <f t="shared" si="23"/>
        <v>1</v>
      </c>
      <c r="C178" s="86" t="s">
        <v>1481</v>
      </c>
      <c r="L178" s="434" t="s">
        <v>1204</v>
      </c>
      <c r="M178" s="163" t="s">
        <v>345</v>
      </c>
      <c r="N178" s="136" t="s">
        <v>311</v>
      </c>
      <c r="O178" s="451"/>
      <c r="P178" s="451"/>
      <c r="Q178" s="451"/>
      <c r="R178" s="451"/>
      <c r="S178" s="451"/>
      <c r="T178" s="451"/>
      <c r="U178" s="451"/>
      <c r="V178" s="451"/>
      <c r="W178" s="451"/>
      <c r="X178" s="451"/>
      <c r="Y178" s="451"/>
      <c r="Z178" s="451"/>
      <c r="AA178" s="451"/>
      <c r="AB178" s="451"/>
      <c r="AC178" s="451"/>
      <c r="AD178" s="451"/>
      <c r="AE178" s="451"/>
      <c r="AF178" s="451"/>
      <c r="AG178" s="451"/>
      <c r="AH178" s="451"/>
      <c r="AI178" s="451"/>
      <c r="AJ178" s="451"/>
      <c r="AK178" s="451"/>
      <c r="AL178" s="451"/>
      <c r="AM178" s="179"/>
    </row>
    <row r="179" spans="1:39" s="86" customFormat="1" outlineLevel="1">
      <c r="A179" s="169" t="str">
        <f t="shared" si="23"/>
        <v>1</v>
      </c>
      <c r="C179" s="86" t="s">
        <v>1672</v>
      </c>
      <c r="L179" s="434" t="s">
        <v>1269</v>
      </c>
      <c r="M179" s="163" t="s">
        <v>346</v>
      </c>
      <c r="N179" s="136" t="s">
        <v>311</v>
      </c>
      <c r="O179" s="451"/>
      <c r="P179" s="451"/>
      <c r="Q179" s="451"/>
      <c r="R179" s="451"/>
      <c r="S179" s="451"/>
      <c r="T179" s="451"/>
      <c r="U179" s="451"/>
      <c r="V179" s="451"/>
      <c r="W179" s="451"/>
      <c r="X179" s="451"/>
      <c r="Y179" s="451"/>
      <c r="Z179" s="451"/>
      <c r="AA179" s="451"/>
      <c r="AB179" s="451"/>
      <c r="AC179" s="451"/>
      <c r="AD179" s="451"/>
      <c r="AE179" s="451"/>
      <c r="AF179" s="451"/>
      <c r="AG179" s="451"/>
      <c r="AH179" s="451"/>
      <c r="AI179" s="451"/>
      <c r="AJ179" s="451"/>
      <c r="AK179" s="451"/>
      <c r="AL179" s="451"/>
      <c r="AM179" s="179"/>
    </row>
    <row r="180" spans="1:39" s="86" customFormat="1" ht="22.8" outlineLevel="1">
      <c r="A180" s="169" t="str">
        <f>A178</f>
        <v>1</v>
      </c>
      <c r="C180" s="86" t="s">
        <v>1460</v>
      </c>
      <c r="L180" s="434" t="s">
        <v>129</v>
      </c>
      <c r="M180" s="443" t="s">
        <v>1122</v>
      </c>
      <c r="N180" s="397" t="s">
        <v>311</v>
      </c>
      <c r="O180" s="451"/>
      <c r="P180" s="451"/>
      <c r="Q180" s="451"/>
      <c r="R180" s="451"/>
      <c r="S180" s="451"/>
      <c r="T180" s="451"/>
      <c r="U180" s="451"/>
      <c r="V180" s="451"/>
      <c r="W180" s="451"/>
      <c r="X180" s="451"/>
      <c r="Y180" s="451"/>
      <c r="Z180" s="451"/>
      <c r="AA180" s="451"/>
      <c r="AB180" s="451"/>
      <c r="AC180" s="451"/>
      <c r="AD180" s="451"/>
      <c r="AE180" s="451"/>
      <c r="AF180" s="451"/>
      <c r="AG180" s="451"/>
      <c r="AH180" s="451"/>
      <c r="AI180" s="451"/>
      <c r="AJ180" s="451"/>
      <c r="AK180" s="451"/>
      <c r="AL180" s="451"/>
      <c r="AM180" s="179"/>
    </row>
    <row r="181" spans="1:39" s="86" customFormat="1" outlineLevel="1">
      <c r="A181" s="169" t="str">
        <f>A179</f>
        <v>1</v>
      </c>
      <c r="C181" s="86" t="s">
        <v>1465</v>
      </c>
      <c r="L181" s="434" t="s">
        <v>130</v>
      </c>
      <c r="M181" s="440" t="s">
        <v>347</v>
      </c>
      <c r="N181" s="136" t="s">
        <v>311</v>
      </c>
      <c r="O181" s="451"/>
      <c r="P181" s="451"/>
      <c r="Q181" s="451"/>
      <c r="R181" s="451"/>
      <c r="S181" s="451"/>
      <c r="T181" s="451"/>
      <c r="U181" s="451"/>
      <c r="V181" s="451"/>
      <c r="W181" s="451"/>
      <c r="X181" s="451"/>
      <c r="Y181" s="451"/>
      <c r="Z181" s="451"/>
      <c r="AA181" s="451"/>
      <c r="AB181" s="451"/>
      <c r="AC181" s="451"/>
      <c r="AD181" s="451"/>
      <c r="AE181" s="451"/>
      <c r="AF181" s="451"/>
      <c r="AG181" s="451"/>
      <c r="AH181" s="451"/>
      <c r="AI181" s="451"/>
      <c r="AJ181" s="451"/>
      <c r="AK181" s="451"/>
      <c r="AL181" s="451"/>
      <c r="AM181" s="179"/>
    </row>
    <row r="182" spans="1:39" s="173" customFormat="1">
      <c r="A182" s="172" t="s">
        <v>1026</v>
      </c>
      <c r="C182" s="484"/>
      <c r="M182" s="3"/>
      <c r="N182" s="3"/>
      <c r="O182" s="454"/>
      <c r="P182" s="454"/>
      <c r="Q182" s="454"/>
      <c r="R182" s="454"/>
      <c r="S182" s="454"/>
      <c r="T182" s="455"/>
      <c r="U182" s="454"/>
      <c r="V182" s="454"/>
      <c r="W182" s="454"/>
      <c r="X182" s="454"/>
      <c r="Y182" s="454"/>
      <c r="Z182" s="454"/>
      <c r="AA182" s="454"/>
      <c r="AB182" s="454"/>
      <c r="AC182" s="454"/>
      <c r="AD182" s="454"/>
      <c r="AE182" s="454"/>
      <c r="AF182" s="454"/>
      <c r="AG182" s="454"/>
      <c r="AH182" s="454"/>
      <c r="AI182" s="454"/>
      <c r="AJ182" s="454"/>
      <c r="AK182" s="454"/>
      <c r="AL182" s="454"/>
    </row>
    <row r="183" spans="1:39" s="86" customFormat="1">
      <c r="A183" s="168" t="s">
        <v>18</v>
      </c>
      <c r="L183" s="148" t="str">
        <f>INDEX('Общие сведения'!$J$114:$J$140,MATCH($A183,'Общие сведения'!$D$114:$D$140,0))</f>
        <v>Тариф 1 (Водоотведение) - тариф на транспортировку сточных вод</v>
      </c>
      <c r="M183" s="144"/>
      <c r="N183" s="144"/>
      <c r="O183" s="456"/>
      <c r="P183" s="456"/>
      <c r="Q183" s="456"/>
      <c r="R183" s="456"/>
      <c r="S183" s="456"/>
      <c r="T183" s="456"/>
      <c r="U183" s="456"/>
      <c r="V183" s="456"/>
      <c r="W183" s="456"/>
      <c r="X183" s="456"/>
      <c r="Y183" s="456"/>
      <c r="Z183" s="456"/>
      <c r="AA183" s="456"/>
      <c r="AB183" s="456"/>
      <c r="AC183" s="456"/>
      <c r="AD183" s="456"/>
      <c r="AE183" s="456"/>
      <c r="AF183" s="456"/>
      <c r="AG183" s="456"/>
      <c r="AH183" s="456"/>
      <c r="AI183" s="456"/>
      <c r="AJ183" s="456"/>
      <c r="AK183" s="456"/>
      <c r="AL183" s="456"/>
      <c r="AM183" s="144"/>
    </row>
    <row r="184" spans="1:39" s="86" customFormat="1" outlineLevel="1">
      <c r="A184" s="169" t="str">
        <f t="shared" ref="A184:A195" si="31">A183</f>
        <v>1</v>
      </c>
      <c r="L184" s="434" t="s">
        <v>18</v>
      </c>
      <c r="M184" s="445" t="s">
        <v>337</v>
      </c>
      <c r="N184" s="171"/>
      <c r="O184" s="471" t="str">
        <f>INDEX('Общие сведения'!$K$114:$K$140,MATCH($A184,'Общие сведения'!$D$114:$D$140,0))</f>
        <v>поверхностные сточные воды</v>
      </c>
      <c r="P184" s="472"/>
      <c r="Q184" s="472"/>
      <c r="R184" s="472"/>
      <c r="S184" s="472"/>
      <c r="T184" s="472"/>
      <c r="U184" s="472"/>
      <c r="V184" s="472"/>
      <c r="W184" s="472"/>
      <c r="X184" s="472"/>
      <c r="Y184" s="472"/>
      <c r="Z184" s="472"/>
      <c r="AA184" s="472"/>
      <c r="AB184" s="472"/>
      <c r="AC184" s="472"/>
      <c r="AD184" s="472"/>
      <c r="AE184" s="472"/>
      <c r="AF184" s="472"/>
      <c r="AG184" s="472"/>
      <c r="AH184" s="472"/>
      <c r="AI184" s="472"/>
      <c r="AJ184" s="472"/>
      <c r="AK184" s="472"/>
      <c r="AL184" s="473"/>
      <c r="AM184" s="179"/>
    </row>
    <row r="185" spans="1:39" s="86" customFormat="1" outlineLevel="1">
      <c r="A185" s="169" t="str">
        <f t="shared" si="31"/>
        <v>1</v>
      </c>
      <c r="C185" s="86" t="s">
        <v>1438</v>
      </c>
      <c r="L185" s="434" t="s">
        <v>102</v>
      </c>
      <c r="M185" s="444" t="s">
        <v>307</v>
      </c>
      <c r="N185" s="138" t="s">
        <v>308</v>
      </c>
      <c r="O185" s="451"/>
      <c r="P185" s="451"/>
      <c r="Q185" s="451"/>
      <c r="R185" s="451"/>
      <c r="S185" s="451"/>
      <c r="T185" s="451"/>
      <c r="U185" s="451"/>
      <c r="V185" s="451"/>
      <c r="W185" s="451"/>
      <c r="X185" s="451"/>
      <c r="Y185" s="451"/>
      <c r="Z185" s="451"/>
      <c r="AA185" s="451"/>
      <c r="AB185" s="451"/>
      <c r="AC185" s="451"/>
      <c r="AD185" s="451"/>
      <c r="AE185" s="451"/>
      <c r="AF185" s="451"/>
      <c r="AG185" s="451"/>
      <c r="AH185" s="451"/>
      <c r="AI185" s="451"/>
      <c r="AJ185" s="451"/>
      <c r="AK185" s="451"/>
      <c r="AL185" s="451"/>
      <c r="AM185" s="179"/>
    </row>
    <row r="186" spans="1:39" s="86" customFormat="1" outlineLevel="1">
      <c r="A186" s="169" t="str">
        <f t="shared" si="31"/>
        <v>1</v>
      </c>
      <c r="C186" s="86" t="s">
        <v>1442</v>
      </c>
      <c r="L186" s="434" t="s">
        <v>103</v>
      </c>
      <c r="M186" s="444" t="s">
        <v>309</v>
      </c>
      <c r="N186" s="138" t="s">
        <v>308</v>
      </c>
      <c r="O186" s="451"/>
      <c r="P186" s="451"/>
      <c r="Q186" s="451"/>
      <c r="R186" s="451"/>
      <c r="S186" s="451"/>
      <c r="T186" s="451"/>
      <c r="U186" s="451"/>
      <c r="V186" s="451"/>
      <c r="W186" s="451"/>
      <c r="X186" s="451"/>
      <c r="Y186" s="451"/>
      <c r="Z186" s="451"/>
      <c r="AA186" s="451"/>
      <c r="AB186" s="451"/>
      <c r="AC186" s="451"/>
      <c r="AD186" s="451"/>
      <c r="AE186" s="451"/>
      <c r="AF186" s="451"/>
      <c r="AG186" s="451"/>
      <c r="AH186" s="451"/>
      <c r="AI186" s="451"/>
      <c r="AJ186" s="451"/>
      <c r="AK186" s="451"/>
      <c r="AL186" s="451"/>
      <c r="AM186" s="179"/>
    </row>
    <row r="187" spans="1:39" s="86" customFormat="1" outlineLevel="1">
      <c r="A187" s="169" t="str">
        <f t="shared" si="31"/>
        <v>1</v>
      </c>
      <c r="C187" s="86" t="s">
        <v>1444</v>
      </c>
      <c r="L187" s="434" t="s">
        <v>104</v>
      </c>
      <c r="M187" s="446" t="s">
        <v>348</v>
      </c>
      <c r="N187" s="136" t="s">
        <v>311</v>
      </c>
      <c r="O187" s="457">
        <f t="shared" ref="O187:AL187" si="32">O188+O190+O189</f>
        <v>0</v>
      </c>
      <c r="P187" s="457">
        <f t="shared" si="32"/>
        <v>0</v>
      </c>
      <c r="Q187" s="457">
        <f t="shared" si="32"/>
        <v>0</v>
      </c>
      <c r="R187" s="457">
        <f t="shared" si="32"/>
        <v>0</v>
      </c>
      <c r="S187" s="457">
        <f t="shared" si="32"/>
        <v>0</v>
      </c>
      <c r="T187" s="457">
        <f t="shared" si="32"/>
        <v>0</v>
      </c>
      <c r="U187" s="457">
        <f t="shared" si="32"/>
        <v>0</v>
      </c>
      <c r="V187" s="457">
        <f t="shared" si="32"/>
        <v>0</v>
      </c>
      <c r="W187" s="457">
        <f t="shared" si="32"/>
        <v>0</v>
      </c>
      <c r="X187" s="457">
        <f t="shared" si="32"/>
        <v>0</v>
      </c>
      <c r="Y187" s="457">
        <f t="shared" si="32"/>
        <v>0</v>
      </c>
      <c r="Z187" s="457">
        <f t="shared" si="32"/>
        <v>0</v>
      </c>
      <c r="AA187" s="457">
        <f t="shared" si="32"/>
        <v>0</v>
      </c>
      <c r="AB187" s="457">
        <f t="shared" si="32"/>
        <v>0</v>
      </c>
      <c r="AC187" s="457">
        <f t="shared" si="32"/>
        <v>0</v>
      </c>
      <c r="AD187" s="457">
        <f t="shared" si="32"/>
        <v>0</v>
      </c>
      <c r="AE187" s="457">
        <f t="shared" si="32"/>
        <v>0</v>
      </c>
      <c r="AF187" s="457">
        <f t="shared" si="32"/>
        <v>0</v>
      </c>
      <c r="AG187" s="457">
        <f t="shared" si="32"/>
        <v>0</v>
      </c>
      <c r="AH187" s="457">
        <f t="shared" si="32"/>
        <v>0</v>
      </c>
      <c r="AI187" s="457">
        <f t="shared" si="32"/>
        <v>0</v>
      </c>
      <c r="AJ187" s="457">
        <f t="shared" si="32"/>
        <v>0</v>
      </c>
      <c r="AK187" s="457">
        <f t="shared" si="32"/>
        <v>0</v>
      </c>
      <c r="AL187" s="457">
        <f t="shared" si="32"/>
        <v>0</v>
      </c>
      <c r="AM187" s="179"/>
    </row>
    <row r="188" spans="1:39" s="86" customFormat="1" outlineLevel="1">
      <c r="A188" s="169" t="str">
        <f t="shared" si="31"/>
        <v>1</v>
      </c>
      <c r="C188" s="86" t="s">
        <v>1598</v>
      </c>
      <c r="L188" s="434" t="s">
        <v>140</v>
      </c>
      <c r="M188" s="447" t="s">
        <v>1139</v>
      </c>
      <c r="N188" s="136" t="s">
        <v>311</v>
      </c>
      <c r="O188" s="327"/>
      <c r="P188" s="327"/>
      <c r="Q188" s="327"/>
      <c r="R188" s="327"/>
      <c r="S188" s="327"/>
      <c r="T188" s="327"/>
      <c r="U188" s="327"/>
      <c r="V188" s="327"/>
      <c r="W188" s="327"/>
      <c r="X188" s="327"/>
      <c r="Y188" s="327"/>
      <c r="Z188" s="327"/>
      <c r="AA188" s="327"/>
      <c r="AB188" s="327"/>
      <c r="AC188" s="327"/>
      <c r="AD188" s="327"/>
      <c r="AE188" s="327"/>
      <c r="AF188" s="327"/>
      <c r="AG188" s="327"/>
      <c r="AH188" s="327"/>
      <c r="AI188" s="327"/>
      <c r="AJ188" s="327"/>
      <c r="AK188" s="327"/>
      <c r="AL188" s="327"/>
      <c r="AM188" s="179"/>
    </row>
    <row r="189" spans="1:39" s="86" customFormat="1" outlineLevel="1">
      <c r="A189" s="169" t="str">
        <f>A187</f>
        <v>1</v>
      </c>
      <c r="C189" s="86" t="s">
        <v>1619</v>
      </c>
      <c r="L189" s="434" t="s">
        <v>373</v>
      </c>
      <c r="M189" s="447" t="s">
        <v>1140</v>
      </c>
      <c r="N189" s="397" t="s">
        <v>311</v>
      </c>
      <c r="O189" s="327"/>
      <c r="P189" s="327"/>
      <c r="Q189" s="327"/>
      <c r="R189" s="327"/>
      <c r="S189" s="327"/>
      <c r="T189" s="327"/>
      <c r="U189" s="327"/>
      <c r="V189" s="327"/>
      <c r="W189" s="327"/>
      <c r="X189" s="327"/>
      <c r="Y189" s="327"/>
      <c r="Z189" s="327"/>
      <c r="AA189" s="327"/>
      <c r="AB189" s="327"/>
      <c r="AC189" s="327"/>
      <c r="AD189" s="327"/>
      <c r="AE189" s="327"/>
      <c r="AF189" s="327"/>
      <c r="AG189" s="327"/>
      <c r="AH189" s="327"/>
      <c r="AI189" s="327"/>
      <c r="AJ189" s="327"/>
      <c r="AK189" s="327"/>
      <c r="AL189" s="327"/>
      <c r="AM189" s="179"/>
    </row>
    <row r="190" spans="1:39" s="86" customFormat="1" ht="22.8" outlineLevel="1">
      <c r="A190" s="169" t="str">
        <f>A188</f>
        <v>1</v>
      </c>
      <c r="C190" s="86" t="s">
        <v>1635</v>
      </c>
      <c r="L190" s="434" t="s">
        <v>374</v>
      </c>
      <c r="M190" s="447" t="s">
        <v>1122</v>
      </c>
      <c r="N190" s="136" t="s">
        <v>311</v>
      </c>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179"/>
    </row>
    <row r="191" spans="1:39" s="86" customFormat="1" outlineLevel="1">
      <c r="A191" s="169" t="str">
        <f t="shared" si="31"/>
        <v>1</v>
      </c>
      <c r="B191" s="86" t="s">
        <v>1135</v>
      </c>
      <c r="C191" s="86" t="s">
        <v>1446</v>
      </c>
      <c r="L191" s="434" t="s">
        <v>120</v>
      </c>
      <c r="M191" s="446" t="s">
        <v>349</v>
      </c>
      <c r="N191" s="136" t="s">
        <v>311</v>
      </c>
      <c r="O191" s="457">
        <f t="shared" ref="O191:AL191" si="33">O192+O193+O196</f>
        <v>0</v>
      </c>
      <c r="P191" s="457">
        <f t="shared" si="33"/>
        <v>0</v>
      </c>
      <c r="Q191" s="457">
        <f t="shared" si="33"/>
        <v>0</v>
      </c>
      <c r="R191" s="457">
        <f t="shared" si="33"/>
        <v>0</v>
      </c>
      <c r="S191" s="457">
        <f t="shared" si="33"/>
        <v>0</v>
      </c>
      <c r="T191" s="457">
        <f t="shared" si="33"/>
        <v>0</v>
      </c>
      <c r="U191" s="457">
        <f t="shared" si="33"/>
        <v>0</v>
      </c>
      <c r="V191" s="457">
        <f t="shared" si="33"/>
        <v>0</v>
      </c>
      <c r="W191" s="457">
        <f t="shared" si="33"/>
        <v>0</v>
      </c>
      <c r="X191" s="457">
        <f t="shared" si="33"/>
        <v>0</v>
      </c>
      <c r="Y191" s="457">
        <f t="shared" si="33"/>
        <v>0</v>
      </c>
      <c r="Z191" s="457">
        <f t="shared" si="33"/>
        <v>0</v>
      </c>
      <c r="AA191" s="457">
        <f t="shared" si="33"/>
        <v>0</v>
      </c>
      <c r="AB191" s="457">
        <f t="shared" si="33"/>
        <v>0</v>
      </c>
      <c r="AC191" s="457">
        <f t="shared" si="33"/>
        <v>0</v>
      </c>
      <c r="AD191" s="457">
        <f t="shared" si="33"/>
        <v>0</v>
      </c>
      <c r="AE191" s="457">
        <f t="shared" si="33"/>
        <v>0</v>
      </c>
      <c r="AF191" s="457">
        <f t="shared" si="33"/>
        <v>0</v>
      </c>
      <c r="AG191" s="457">
        <f t="shared" si="33"/>
        <v>0</v>
      </c>
      <c r="AH191" s="457">
        <f t="shared" si="33"/>
        <v>0</v>
      </c>
      <c r="AI191" s="457">
        <f t="shared" si="33"/>
        <v>0</v>
      </c>
      <c r="AJ191" s="457">
        <f t="shared" si="33"/>
        <v>0</v>
      </c>
      <c r="AK191" s="457">
        <f t="shared" si="33"/>
        <v>0</v>
      </c>
      <c r="AL191" s="457">
        <f t="shared" si="33"/>
        <v>0</v>
      </c>
      <c r="AM191" s="179"/>
    </row>
    <row r="192" spans="1:39" s="86" customFormat="1" outlineLevel="1">
      <c r="A192" s="169" t="str">
        <f t="shared" si="31"/>
        <v>1</v>
      </c>
      <c r="C192" s="86" t="s">
        <v>1599</v>
      </c>
      <c r="L192" s="434" t="s">
        <v>122</v>
      </c>
      <c r="M192" s="447" t="s">
        <v>350</v>
      </c>
      <c r="N192" s="136" t="s">
        <v>311</v>
      </c>
      <c r="O192" s="327"/>
      <c r="P192" s="327"/>
      <c r="Q192" s="327"/>
      <c r="R192" s="327"/>
      <c r="S192" s="327"/>
      <c r="T192" s="327"/>
      <c r="U192" s="327"/>
      <c r="V192" s="327"/>
      <c r="W192" s="327"/>
      <c r="X192" s="327"/>
      <c r="Y192" s="327"/>
      <c r="Z192" s="327"/>
      <c r="AA192" s="327"/>
      <c r="AB192" s="327"/>
      <c r="AC192" s="327"/>
      <c r="AD192" s="327"/>
      <c r="AE192" s="327"/>
      <c r="AF192" s="327"/>
      <c r="AG192" s="327"/>
      <c r="AH192" s="327"/>
      <c r="AI192" s="327"/>
      <c r="AJ192" s="327"/>
      <c r="AK192" s="327"/>
      <c r="AL192" s="327"/>
      <c r="AM192" s="179"/>
    </row>
    <row r="193" spans="1:39" s="86" customFormat="1" outlineLevel="1">
      <c r="A193" s="169" t="str">
        <f t="shared" si="31"/>
        <v>1</v>
      </c>
      <c r="C193" s="86" t="s">
        <v>1600</v>
      </c>
      <c r="L193" s="434" t="s">
        <v>123</v>
      </c>
      <c r="M193" s="448" t="s">
        <v>351</v>
      </c>
      <c r="N193" s="136" t="s">
        <v>311</v>
      </c>
      <c r="O193" s="457">
        <f t="shared" ref="O193:AL193" si="34">O194+O195</f>
        <v>0</v>
      </c>
      <c r="P193" s="457">
        <f t="shared" si="34"/>
        <v>0</v>
      </c>
      <c r="Q193" s="457">
        <f t="shared" si="34"/>
        <v>0</v>
      </c>
      <c r="R193" s="457">
        <f t="shared" si="34"/>
        <v>0</v>
      </c>
      <c r="S193" s="457">
        <f t="shared" si="34"/>
        <v>0</v>
      </c>
      <c r="T193" s="457">
        <f t="shared" si="34"/>
        <v>0</v>
      </c>
      <c r="U193" s="457">
        <f t="shared" si="34"/>
        <v>0</v>
      </c>
      <c r="V193" s="457">
        <f t="shared" si="34"/>
        <v>0</v>
      </c>
      <c r="W193" s="457">
        <f t="shared" si="34"/>
        <v>0</v>
      </c>
      <c r="X193" s="457">
        <f t="shared" si="34"/>
        <v>0</v>
      </c>
      <c r="Y193" s="457">
        <f t="shared" si="34"/>
        <v>0</v>
      </c>
      <c r="Z193" s="457">
        <f t="shared" si="34"/>
        <v>0</v>
      </c>
      <c r="AA193" s="457">
        <f t="shared" si="34"/>
        <v>0</v>
      </c>
      <c r="AB193" s="457">
        <f t="shared" si="34"/>
        <v>0</v>
      </c>
      <c r="AC193" s="457">
        <f t="shared" si="34"/>
        <v>0</v>
      </c>
      <c r="AD193" s="457">
        <f t="shared" si="34"/>
        <v>0</v>
      </c>
      <c r="AE193" s="457">
        <f t="shared" si="34"/>
        <v>0</v>
      </c>
      <c r="AF193" s="457">
        <f t="shared" si="34"/>
        <v>0</v>
      </c>
      <c r="AG193" s="457">
        <f t="shared" si="34"/>
        <v>0</v>
      </c>
      <c r="AH193" s="457">
        <f t="shared" si="34"/>
        <v>0</v>
      </c>
      <c r="AI193" s="457">
        <f t="shared" si="34"/>
        <v>0</v>
      </c>
      <c r="AJ193" s="457">
        <f t="shared" si="34"/>
        <v>0</v>
      </c>
      <c r="AK193" s="457">
        <f t="shared" si="34"/>
        <v>0</v>
      </c>
      <c r="AL193" s="457">
        <f t="shared" si="34"/>
        <v>0</v>
      </c>
      <c r="AM193" s="179"/>
    </row>
    <row r="194" spans="1:39" s="86" customFormat="1" outlineLevel="1">
      <c r="A194" s="169" t="str">
        <f t="shared" si="31"/>
        <v>1</v>
      </c>
      <c r="C194" s="86" t="s">
        <v>1696</v>
      </c>
      <c r="L194" s="434" t="s">
        <v>1291</v>
      </c>
      <c r="M194" s="449" t="s">
        <v>329</v>
      </c>
      <c r="N194" s="136" t="s">
        <v>311</v>
      </c>
      <c r="O194" s="327"/>
      <c r="P194" s="327"/>
      <c r="Q194" s="327"/>
      <c r="R194" s="327"/>
      <c r="S194" s="327"/>
      <c r="T194" s="327"/>
      <c r="U194" s="327"/>
      <c r="V194" s="327"/>
      <c r="W194" s="327"/>
      <c r="X194" s="327"/>
      <c r="Y194" s="327"/>
      <c r="Z194" s="327"/>
      <c r="AA194" s="327"/>
      <c r="AB194" s="327"/>
      <c r="AC194" s="327"/>
      <c r="AD194" s="327"/>
      <c r="AE194" s="327"/>
      <c r="AF194" s="327"/>
      <c r="AG194" s="327"/>
      <c r="AH194" s="327"/>
      <c r="AI194" s="327"/>
      <c r="AJ194" s="327"/>
      <c r="AK194" s="327"/>
      <c r="AL194" s="327"/>
      <c r="AM194" s="179"/>
    </row>
    <row r="195" spans="1:39" s="86" customFormat="1" outlineLevel="1">
      <c r="A195" s="169" t="str">
        <f t="shared" si="31"/>
        <v>1</v>
      </c>
      <c r="C195" s="86" t="s">
        <v>1697</v>
      </c>
      <c r="L195" s="434" t="s">
        <v>1292</v>
      </c>
      <c r="M195" s="449" t="s">
        <v>330</v>
      </c>
      <c r="N195" s="136" t="s">
        <v>311</v>
      </c>
      <c r="O195" s="327"/>
      <c r="P195" s="327"/>
      <c r="Q195" s="327"/>
      <c r="R195" s="327"/>
      <c r="S195" s="327"/>
      <c r="T195" s="327"/>
      <c r="U195" s="327"/>
      <c r="V195" s="327"/>
      <c r="W195" s="327"/>
      <c r="X195" s="327"/>
      <c r="Y195" s="327"/>
      <c r="Z195" s="327"/>
      <c r="AA195" s="327"/>
      <c r="AB195" s="327"/>
      <c r="AC195" s="327"/>
      <c r="AD195" s="327"/>
      <c r="AE195" s="327"/>
      <c r="AF195" s="327"/>
      <c r="AG195" s="327"/>
      <c r="AH195" s="327"/>
      <c r="AI195" s="327"/>
      <c r="AJ195" s="327"/>
      <c r="AK195" s="327"/>
      <c r="AL195" s="327"/>
      <c r="AM195" s="179"/>
    </row>
    <row r="196" spans="1:39" s="86" customFormat="1" ht="22.8" outlineLevel="1">
      <c r="A196" s="169" t="str">
        <f>A194</f>
        <v>1</v>
      </c>
      <c r="C196" s="86" t="s">
        <v>1601</v>
      </c>
      <c r="L196" s="434" t="s">
        <v>378</v>
      </c>
      <c r="M196" s="450" t="s">
        <v>1138</v>
      </c>
      <c r="N196" s="397" t="s">
        <v>311</v>
      </c>
      <c r="O196" s="451"/>
      <c r="P196" s="451"/>
      <c r="Q196" s="451"/>
      <c r="R196" s="451"/>
      <c r="S196" s="451"/>
      <c r="T196" s="451"/>
      <c r="U196" s="451"/>
      <c r="V196" s="451"/>
      <c r="W196" s="451"/>
      <c r="X196" s="451"/>
      <c r="Y196" s="451"/>
      <c r="Z196" s="451"/>
      <c r="AA196" s="451"/>
      <c r="AB196" s="451"/>
      <c r="AC196" s="451"/>
      <c r="AD196" s="451"/>
      <c r="AE196" s="451"/>
      <c r="AF196" s="451"/>
      <c r="AG196" s="451"/>
      <c r="AH196" s="451"/>
      <c r="AI196" s="451"/>
      <c r="AJ196" s="451"/>
      <c r="AK196" s="451"/>
      <c r="AL196" s="451"/>
      <c r="AM196" s="179"/>
    </row>
    <row r="197" spans="1:39">
      <c r="O197" s="1"/>
      <c r="P197" s="1"/>
      <c r="T197" s="5"/>
      <c r="AA197" s="1"/>
    </row>
    <row r="198" spans="1:39" s="131" customFormat="1" ht="30" customHeight="1">
      <c r="A198" s="130" t="s">
        <v>1029</v>
      </c>
      <c r="M198" s="132"/>
      <c r="N198" s="132"/>
      <c r="O198" s="132"/>
      <c r="P198" s="132"/>
      <c r="AA198" s="133"/>
    </row>
    <row r="199" spans="1:39">
      <c r="A199" s="134" t="s">
        <v>1030</v>
      </c>
    </row>
    <row r="200" spans="1:39" s="88" customFormat="1" ht="15" customHeight="1">
      <c r="A200" s="168" t="s">
        <v>18</v>
      </c>
      <c r="L200" s="148" t="str">
        <f>INDEX('Общие сведения'!$J$114:$J$140,MATCH($A200,'Общие сведения'!$D$114:$D$140,0))</f>
        <v>Тариф 1 (Водоотведение) - тариф на транспортировку сточных вод</v>
      </c>
      <c r="M200" s="144"/>
      <c r="N200" s="139"/>
      <c r="O200" s="139"/>
      <c r="P200" s="139"/>
      <c r="Q200" s="139"/>
      <c r="R200" s="139"/>
      <c r="S200" s="139"/>
      <c r="T200" s="139"/>
      <c r="U200" s="139"/>
      <c r="V200" s="139"/>
      <c r="W200" s="139"/>
      <c r="X200" s="139"/>
      <c r="Y200" s="139"/>
      <c r="Z200" s="139"/>
      <c r="AA200" s="139"/>
      <c r="AB200" s="139"/>
      <c r="AC200" s="139"/>
      <c r="AD200" s="139"/>
      <c r="AE200" s="139"/>
      <c r="AF200" s="139"/>
      <c r="AG200" s="139"/>
      <c r="AH200" s="139"/>
      <c r="AI200" s="139"/>
      <c r="AJ200" s="139"/>
      <c r="AK200" s="139"/>
      <c r="AL200" s="139"/>
      <c r="AM200" s="139"/>
    </row>
    <row r="201" spans="1:39" s="90" customFormat="1" ht="15" customHeight="1" outlineLevel="1">
      <c r="A201" s="248" t="str">
        <f>A200</f>
        <v>1</v>
      </c>
      <c r="B201" s="90" t="s">
        <v>1406</v>
      </c>
      <c r="C201" s="90" t="s">
        <v>1438</v>
      </c>
      <c r="L201" s="89"/>
      <c r="M201" s="175" t="s">
        <v>1028</v>
      </c>
      <c r="N201" s="158" t="s">
        <v>352</v>
      </c>
      <c r="O201" s="85">
        <f t="shared" ref="O201:AL201" si="35">SUM(O202:O203)</f>
        <v>0</v>
      </c>
      <c r="P201" s="85">
        <f t="shared" si="35"/>
        <v>0</v>
      </c>
      <c r="Q201" s="85">
        <f t="shared" si="35"/>
        <v>0</v>
      </c>
      <c r="R201" s="85">
        <f t="shared" si="35"/>
        <v>0</v>
      </c>
      <c r="S201" s="85">
        <f t="shared" si="35"/>
        <v>0</v>
      </c>
      <c r="T201" s="85">
        <f t="shared" si="35"/>
        <v>0</v>
      </c>
      <c r="U201" s="85">
        <f t="shared" si="35"/>
        <v>0</v>
      </c>
      <c r="V201" s="85">
        <f t="shared" si="35"/>
        <v>0</v>
      </c>
      <c r="W201" s="85">
        <f t="shared" si="35"/>
        <v>0</v>
      </c>
      <c r="X201" s="85">
        <f t="shared" si="35"/>
        <v>0</v>
      </c>
      <c r="Y201" s="85">
        <f t="shared" si="35"/>
        <v>0</v>
      </c>
      <c r="Z201" s="85">
        <f t="shared" si="35"/>
        <v>0</v>
      </c>
      <c r="AA201" s="85">
        <f t="shared" si="35"/>
        <v>0</v>
      </c>
      <c r="AB201" s="85">
        <f t="shared" si="35"/>
        <v>0</v>
      </c>
      <c r="AC201" s="85">
        <f t="shared" si="35"/>
        <v>0</v>
      </c>
      <c r="AD201" s="85">
        <f t="shared" si="35"/>
        <v>0</v>
      </c>
      <c r="AE201" s="85">
        <f t="shared" si="35"/>
        <v>0</v>
      </c>
      <c r="AF201" s="85">
        <f t="shared" si="35"/>
        <v>0</v>
      </c>
      <c r="AG201" s="85">
        <f t="shared" si="35"/>
        <v>0</v>
      </c>
      <c r="AH201" s="85">
        <f t="shared" si="35"/>
        <v>0</v>
      </c>
      <c r="AI201" s="85">
        <f t="shared" si="35"/>
        <v>0</v>
      </c>
      <c r="AJ201" s="85">
        <f t="shared" si="35"/>
        <v>0</v>
      </c>
      <c r="AK201" s="85">
        <f t="shared" si="35"/>
        <v>0</v>
      </c>
      <c r="AL201" s="85">
        <f t="shared" si="35"/>
        <v>0</v>
      </c>
      <c r="AM201" s="179"/>
    </row>
    <row r="202" spans="1:39" s="90" customFormat="1" ht="0.15" customHeight="1" outlineLevel="1">
      <c r="A202" s="248" t="str">
        <f>A201</f>
        <v>1</v>
      </c>
      <c r="L202" s="89" t="s">
        <v>1027</v>
      </c>
      <c r="M202" s="175"/>
      <c r="N202" s="158"/>
      <c r="O202" s="177"/>
      <c r="P202" s="177"/>
      <c r="Q202" s="177"/>
      <c r="R202" s="177"/>
      <c r="S202" s="177"/>
      <c r="T202" s="177"/>
      <c r="U202" s="177"/>
      <c r="V202" s="177"/>
      <c r="W202" s="177"/>
      <c r="X202" s="177"/>
      <c r="Y202" s="177"/>
      <c r="Z202" s="177"/>
      <c r="AA202" s="177"/>
      <c r="AB202" s="177"/>
      <c r="AC202" s="177"/>
      <c r="AD202" s="177"/>
      <c r="AE202" s="177"/>
      <c r="AF202" s="177"/>
      <c r="AG202" s="177"/>
      <c r="AH202" s="177"/>
      <c r="AI202" s="177"/>
      <c r="AJ202" s="177"/>
      <c r="AK202" s="177"/>
      <c r="AL202" s="177"/>
      <c r="AM202" s="178"/>
    </row>
    <row r="203" spans="1:39" s="87" customFormat="1" ht="15" customHeight="1" outlineLevel="1">
      <c r="A203" s="248" t="str">
        <f>A202</f>
        <v>1</v>
      </c>
      <c r="B203" s="87" t="str">
        <f>A203&amp;"pIns"</f>
        <v>1pIns</v>
      </c>
      <c r="L203" s="140"/>
      <c r="M203" s="143" t="s">
        <v>353</v>
      </c>
      <c r="N203" s="141"/>
      <c r="O203" s="141"/>
      <c r="P203" s="141"/>
      <c r="Q203" s="141"/>
      <c r="R203" s="141"/>
      <c r="S203" s="141"/>
      <c r="T203" s="141"/>
      <c r="U203" s="141"/>
      <c r="V203" s="141"/>
      <c r="W203" s="141"/>
      <c r="X203" s="141"/>
      <c r="Y203" s="141"/>
      <c r="Z203" s="141"/>
      <c r="AA203" s="141"/>
      <c r="AB203" s="141"/>
      <c r="AC203" s="141"/>
      <c r="AD203" s="141"/>
      <c r="AE203" s="141"/>
      <c r="AF203" s="141"/>
      <c r="AG203" s="141"/>
      <c r="AH203" s="141"/>
      <c r="AI203" s="141"/>
      <c r="AJ203" s="141"/>
      <c r="AK203" s="141"/>
      <c r="AL203" s="141"/>
      <c r="AM203" s="152"/>
    </row>
    <row r="204" spans="1:39">
      <c r="A204" s="134" t="s">
        <v>1031</v>
      </c>
      <c r="B204" s="484"/>
      <c r="C204" s="484"/>
    </row>
    <row r="205" spans="1:39" s="90" customFormat="1" ht="13.8" outlineLevel="1">
      <c r="A205" s="145" t="str">
        <f ca="1">OFFSET(A205,-1,0)</f>
        <v>et_List05_reagent</v>
      </c>
      <c r="B205" s="90" t="s">
        <v>1406</v>
      </c>
      <c r="C205" s="90" t="s">
        <v>1438</v>
      </c>
      <c r="K205" s="135" t="s">
        <v>265</v>
      </c>
      <c r="L205" s="89">
        <v>1</v>
      </c>
      <c r="M205" s="176"/>
      <c r="N205" s="158" t="s">
        <v>352</v>
      </c>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179"/>
    </row>
    <row r="206" spans="1:39">
      <c r="B206" s="484"/>
      <c r="C206" s="484"/>
    </row>
    <row r="207" spans="1:39" s="131" customFormat="1" ht="30" customHeight="1">
      <c r="A207" s="130" t="s">
        <v>1160</v>
      </c>
      <c r="B207" s="574"/>
      <c r="C207" s="574"/>
      <c r="M207" s="132"/>
      <c r="N207" s="132"/>
      <c r="O207" s="132"/>
      <c r="P207" s="132"/>
      <c r="AA207" s="133"/>
    </row>
    <row r="208" spans="1:39">
      <c r="A208" s="134" t="s">
        <v>1040</v>
      </c>
      <c r="B208" s="484"/>
      <c r="C208" s="484"/>
    </row>
    <row r="209" spans="1:39" s="88" customFormat="1" ht="15" customHeight="1">
      <c r="A209" s="168" t="s">
        <v>18</v>
      </c>
      <c r="B209" s="86"/>
      <c r="C209" s="86"/>
      <c r="L209" s="148" t="str">
        <f>INDEX('Общие сведения'!$J$114:$J$140,MATCH($A209,'Общие сведения'!$D$114:$D$140,0))</f>
        <v>Тариф 1 (Водоотведение) - тариф на транспортировку сточных вод</v>
      </c>
      <c r="M209" s="144"/>
      <c r="N209" s="139"/>
      <c r="O209" s="139"/>
      <c r="P209" s="139"/>
      <c r="Q209" s="139"/>
      <c r="R209" s="139"/>
      <c r="S209" s="139"/>
      <c r="T209" s="139"/>
      <c r="U209" s="139"/>
      <c r="V209" s="139"/>
      <c r="W209" s="139"/>
      <c r="X209" s="139"/>
      <c r="Y209" s="139"/>
      <c r="Z209" s="139"/>
      <c r="AA209" s="139"/>
      <c r="AB209" s="139"/>
      <c r="AC209" s="139"/>
      <c r="AD209" s="139"/>
      <c r="AE209" s="139"/>
      <c r="AF209" s="139"/>
      <c r="AG209" s="139"/>
      <c r="AH209" s="139"/>
      <c r="AI209" s="139"/>
      <c r="AJ209" s="139"/>
      <c r="AK209" s="139"/>
      <c r="AL209" s="139"/>
      <c r="AM209" s="196"/>
    </row>
    <row r="210" spans="1:39" s="90" customFormat="1" ht="11.25" customHeight="1" outlineLevel="1">
      <c r="A210" s="477" t="str">
        <f t="shared" ref="A210:A221" si="36">A209</f>
        <v>1</v>
      </c>
      <c r="B210" s="575" t="s">
        <v>1406</v>
      </c>
      <c r="C210" s="575"/>
      <c r="L210" s="89" t="s">
        <v>18</v>
      </c>
      <c r="M210" s="175" t="s">
        <v>1028</v>
      </c>
      <c r="N210" s="137" t="s">
        <v>352</v>
      </c>
      <c r="O210" s="159">
        <f>SUMIF(N215:N221,N210,O215:O221)</f>
        <v>0</v>
      </c>
      <c r="P210" s="159">
        <f>SUMIF(N215:N221,N210,P215:P221)</f>
        <v>0</v>
      </c>
      <c r="Q210" s="159">
        <f>SUMIF(N215:N221,N210,Q215:Q221)</f>
        <v>0</v>
      </c>
      <c r="R210" s="159">
        <f>SUMIF(N215:N221,N210,R215:R221)</f>
        <v>0</v>
      </c>
      <c r="S210" s="159">
        <f>SUMIF(N215:N221,N210,S215:S221)</f>
        <v>0</v>
      </c>
      <c r="T210" s="159">
        <f>SUMIF(N215:N221,N210,T215:T221)</f>
        <v>0</v>
      </c>
      <c r="U210" s="159">
        <f>SUMIF(N215:N221,N210,U215:U221)</f>
        <v>0</v>
      </c>
      <c r="V210" s="159">
        <f>SUMIF(N215:N221,N210,V215:V221)</f>
        <v>0</v>
      </c>
      <c r="W210" s="159">
        <f>SUMIF(N215:N221,N210,W215:W221)</f>
        <v>0</v>
      </c>
      <c r="X210" s="159">
        <f>SUMIF(N215:N221,N210,X215:X221)</f>
        <v>0</v>
      </c>
      <c r="Y210" s="159">
        <f>SUMIF(N215:N221,N210,Y215:Y221)</f>
        <v>0</v>
      </c>
      <c r="Z210" s="159">
        <f>SUMIF(N215:N221,N210,Z215:Z221)</f>
        <v>0</v>
      </c>
      <c r="AA210" s="159">
        <f>SUMIF(N215:N221,N210,AA215:AA221)</f>
        <v>0</v>
      </c>
      <c r="AB210" s="159">
        <f>SUMIF(N215:N221,N210,AB215:AB221)</f>
        <v>0</v>
      </c>
      <c r="AC210" s="159">
        <f>SUMIF(N215:N221,N210,AC215:AC221)</f>
        <v>0</v>
      </c>
      <c r="AD210" s="159">
        <f>SUMIF(N215:N221,N210,AD215:AD221)</f>
        <v>0</v>
      </c>
      <c r="AE210" s="159">
        <f>SUMIF(N215:N221,N210,AE215:AE221)</f>
        <v>0</v>
      </c>
      <c r="AF210" s="159">
        <f>SUMIF(N215:N221,N210,AF215:AF221)</f>
        <v>0</v>
      </c>
      <c r="AG210" s="159">
        <f>SUMIF(N215:N221,N210,AG215:AG221)</f>
        <v>0</v>
      </c>
      <c r="AH210" s="159">
        <f>SUMIF(N215:N221,N210,AH215:AH221)</f>
        <v>0</v>
      </c>
      <c r="AI210" s="159">
        <f>SUMIF(N215:N221,N210,AI215:AI221)</f>
        <v>0</v>
      </c>
      <c r="AJ210" s="159">
        <f>SUMIF(N215:N221,N210,AJ215:AJ221)</f>
        <v>0</v>
      </c>
      <c r="AK210" s="159">
        <f>SUMIF(N215:N221,N210,AK215:AK221)</f>
        <v>0</v>
      </c>
      <c r="AL210" s="159">
        <f>SUMIF(N215:N221,N210,AL215:AL221)</f>
        <v>0</v>
      </c>
      <c r="AM210" s="179"/>
    </row>
    <row r="211" spans="1:39" s="90" customFormat="1" ht="11.25" customHeight="1" outlineLevel="1">
      <c r="A211" s="477" t="str">
        <f t="shared" si="36"/>
        <v>1</v>
      </c>
      <c r="B211" s="575" t="s">
        <v>1438</v>
      </c>
      <c r="C211" s="575"/>
      <c r="L211" s="89" t="s">
        <v>102</v>
      </c>
      <c r="M211" s="175" t="s">
        <v>1142</v>
      </c>
      <c r="N211" s="138" t="s">
        <v>1209</v>
      </c>
      <c r="O211" s="159">
        <f>SUMIF(N215:N221,N211,O215:O221)</f>
        <v>0</v>
      </c>
      <c r="P211" s="159">
        <f>SUMIF(N215:N221,N211,P215:P221)</f>
        <v>0</v>
      </c>
      <c r="Q211" s="159">
        <f>SUMIF(N215:N221,N211,Q215:Q221)</f>
        <v>0</v>
      </c>
      <c r="R211" s="159">
        <f>SUMIF(N215:N221,N211,R215:R221)</f>
        <v>0</v>
      </c>
      <c r="S211" s="159">
        <f>SUMIF(N215:N221,N211,S215:S221)</f>
        <v>0</v>
      </c>
      <c r="T211" s="159">
        <f>SUMIF(N215:N221,N211,T215:T221)</f>
        <v>0</v>
      </c>
      <c r="U211" s="159">
        <f>SUMIF(N215:N221,N211,U215:U221)</f>
        <v>0</v>
      </c>
      <c r="V211" s="159">
        <f>SUMIF(N215:N221,N211,V215:V221)</f>
        <v>0</v>
      </c>
      <c r="W211" s="159">
        <f>SUMIF(N215:N221,N211,W215:W221)</f>
        <v>0</v>
      </c>
      <c r="X211" s="159">
        <f>SUMIF(N215:N221,N211,X215:X221)</f>
        <v>0</v>
      </c>
      <c r="Y211" s="159">
        <f>SUMIF(N215:N221,N211,Y215:Y221)</f>
        <v>0</v>
      </c>
      <c r="Z211" s="159">
        <f>SUMIF(N215:N221,N211,Z215:Z221)</f>
        <v>0</v>
      </c>
      <c r="AA211" s="159">
        <f>SUMIF(N215:N221,N211,AA215:AA221)</f>
        <v>0</v>
      </c>
      <c r="AB211" s="159">
        <f>SUMIF(N215:N221,N211,AB215:AB221)</f>
        <v>0</v>
      </c>
      <c r="AC211" s="159">
        <f>SUMIF(N215:N221,N211,AC215:AC221)</f>
        <v>0</v>
      </c>
      <c r="AD211" s="159">
        <f>SUMIF(N215:N221,N211,AD215:AD221)</f>
        <v>0</v>
      </c>
      <c r="AE211" s="159">
        <f>SUMIF(N215:N221,N211,AE215:AE221)</f>
        <v>0</v>
      </c>
      <c r="AF211" s="159">
        <f>SUMIF(N215:N221,N211,AF215:AF221)</f>
        <v>0</v>
      </c>
      <c r="AG211" s="159">
        <f>SUMIF(N215:N221,N211,AG215:AG221)</f>
        <v>0</v>
      </c>
      <c r="AH211" s="159">
        <f>SUMIF(N215:N221,N211,AH215:AH221)</f>
        <v>0</v>
      </c>
      <c r="AI211" s="159">
        <f>SUMIF(N215:N221,N211,AI215:AI221)</f>
        <v>0</v>
      </c>
      <c r="AJ211" s="159">
        <f>SUMIF(N215:N221,N211,AJ215:AJ221)</f>
        <v>0</v>
      </c>
      <c r="AK211" s="159">
        <f>SUMIF(N215:N221,N211,AK215:AK221)</f>
        <v>0</v>
      </c>
      <c r="AL211" s="159">
        <f>SUMIF(N215:N221,N211,AL215:AL221)</f>
        <v>0</v>
      </c>
      <c r="AM211" s="179"/>
    </row>
    <row r="212" spans="1:39" s="90" customFormat="1" ht="11.25" customHeight="1" outlineLevel="1">
      <c r="A212" s="477" t="str">
        <f t="shared" si="36"/>
        <v>1</v>
      </c>
      <c r="B212" s="575" t="s">
        <v>1442</v>
      </c>
      <c r="C212" s="575"/>
      <c r="L212" s="89" t="s">
        <v>103</v>
      </c>
      <c r="M212" s="175" t="s">
        <v>1143</v>
      </c>
      <c r="N212" s="138" t="s">
        <v>485</v>
      </c>
      <c r="O212" s="365"/>
      <c r="P212" s="365"/>
      <c r="Q212" s="365"/>
      <c r="R212" s="365"/>
      <c r="S212" s="365"/>
      <c r="T212" s="365"/>
      <c r="U212" s="365"/>
      <c r="V212" s="365"/>
      <c r="W212" s="365"/>
      <c r="X212" s="365"/>
      <c r="Y212" s="365"/>
      <c r="Z212" s="365"/>
      <c r="AA212" s="365"/>
      <c r="AB212" s="365"/>
      <c r="AC212" s="365"/>
      <c r="AD212" s="365"/>
      <c r="AE212" s="365"/>
      <c r="AF212" s="365"/>
      <c r="AG212" s="365"/>
      <c r="AH212" s="365"/>
      <c r="AI212" s="365"/>
      <c r="AJ212" s="365"/>
      <c r="AK212" s="365"/>
      <c r="AL212" s="365"/>
      <c r="AM212" s="179"/>
    </row>
    <row r="213" spans="1:39" s="90" customFormat="1" ht="11.25" customHeight="1" outlineLevel="1">
      <c r="A213" s="477" t="str">
        <f t="shared" si="36"/>
        <v>1</v>
      </c>
      <c r="B213" s="575" t="s">
        <v>1444</v>
      </c>
      <c r="C213" s="575"/>
      <c r="L213" s="89" t="s">
        <v>104</v>
      </c>
      <c r="M213" s="175" t="s">
        <v>354</v>
      </c>
      <c r="N213" s="138" t="s">
        <v>487</v>
      </c>
      <c r="O213" s="159">
        <f>IF(O211=0,0,O210/O211)</f>
        <v>0</v>
      </c>
      <c r="P213" s="159">
        <f t="shared" ref="P213:AL214" si="37">IF(P211=0,0,P210/P211)</f>
        <v>0</v>
      </c>
      <c r="Q213" s="159">
        <f t="shared" si="37"/>
        <v>0</v>
      </c>
      <c r="R213" s="159">
        <f t="shared" si="37"/>
        <v>0</v>
      </c>
      <c r="S213" s="159">
        <f t="shared" si="37"/>
        <v>0</v>
      </c>
      <c r="T213" s="159">
        <f t="shared" si="37"/>
        <v>0</v>
      </c>
      <c r="U213" s="159">
        <f t="shared" si="37"/>
        <v>0</v>
      </c>
      <c r="V213" s="159">
        <f t="shared" si="37"/>
        <v>0</v>
      </c>
      <c r="W213" s="159">
        <f t="shared" si="37"/>
        <v>0</v>
      </c>
      <c r="X213" s="159">
        <f t="shared" si="37"/>
        <v>0</v>
      </c>
      <c r="Y213" s="159">
        <f t="shared" si="37"/>
        <v>0</v>
      </c>
      <c r="Z213" s="159">
        <f t="shared" si="37"/>
        <v>0</v>
      </c>
      <c r="AA213" s="159">
        <f t="shared" si="37"/>
        <v>0</v>
      </c>
      <c r="AB213" s="159">
        <f t="shared" si="37"/>
        <v>0</v>
      </c>
      <c r="AC213" s="159">
        <f t="shared" si="37"/>
        <v>0</v>
      </c>
      <c r="AD213" s="159">
        <f t="shared" si="37"/>
        <v>0</v>
      </c>
      <c r="AE213" s="159">
        <f t="shared" si="37"/>
        <v>0</v>
      </c>
      <c r="AF213" s="159">
        <f t="shared" si="37"/>
        <v>0</v>
      </c>
      <c r="AG213" s="159">
        <f t="shared" si="37"/>
        <v>0</v>
      </c>
      <c r="AH213" s="159">
        <f t="shared" si="37"/>
        <v>0</v>
      </c>
      <c r="AI213" s="159">
        <f t="shared" si="37"/>
        <v>0</v>
      </c>
      <c r="AJ213" s="159">
        <f t="shared" si="37"/>
        <v>0</v>
      </c>
      <c r="AK213" s="159">
        <f t="shared" si="37"/>
        <v>0</v>
      </c>
      <c r="AL213" s="159">
        <f t="shared" si="37"/>
        <v>0</v>
      </c>
      <c r="AM213" s="179"/>
    </row>
    <row r="214" spans="1:39" s="90" customFormat="1" ht="11.25" customHeight="1" outlineLevel="1">
      <c r="A214" s="477" t="str">
        <f t="shared" si="36"/>
        <v>1</v>
      </c>
      <c r="B214" s="575" t="s">
        <v>1446</v>
      </c>
      <c r="C214" s="575"/>
      <c r="L214" s="89" t="s">
        <v>120</v>
      </c>
      <c r="M214" s="175" t="s">
        <v>355</v>
      </c>
      <c r="N214" s="138" t="s">
        <v>483</v>
      </c>
      <c r="O214" s="410">
        <f>IF(O212=0,0,O211/O212)</f>
        <v>0</v>
      </c>
      <c r="P214" s="410">
        <f t="shared" si="37"/>
        <v>0</v>
      </c>
      <c r="Q214" s="410">
        <f t="shared" si="37"/>
        <v>0</v>
      </c>
      <c r="R214" s="410">
        <f t="shared" si="37"/>
        <v>0</v>
      </c>
      <c r="S214" s="410">
        <f t="shared" si="37"/>
        <v>0</v>
      </c>
      <c r="T214" s="410">
        <f t="shared" si="37"/>
        <v>0</v>
      </c>
      <c r="U214" s="410">
        <f t="shared" si="37"/>
        <v>0</v>
      </c>
      <c r="V214" s="410">
        <f t="shared" si="37"/>
        <v>0</v>
      </c>
      <c r="W214" s="410">
        <f t="shared" si="37"/>
        <v>0</v>
      </c>
      <c r="X214" s="410">
        <f t="shared" si="37"/>
        <v>0</v>
      </c>
      <c r="Y214" s="410">
        <f t="shared" si="37"/>
        <v>0</v>
      </c>
      <c r="Z214" s="410">
        <f t="shared" si="37"/>
        <v>0</v>
      </c>
      <c r="AA214" s="410">
        <f t="shared" si="37"/>
        <v>0</v>
      </c>
      <c r="AB214" s="410">
        <f t="shared" si="37"/>
        <v>0</v>
      </c>
      <c r="AC214" s="410">
        <f t="shared" si="37"/>
        <v>0</v>
      </c>
      <c r="AD214" s="410">
        <f t="shared" si="37"/>
        <v>0</v>
      </c>
      <c r="AE214" s="410">
        <f t="shared" si="37"/>
        <v>0</v>
      </c>
      <c r="AF214" s="410">
        <f t="shared" si="37"/>
        <v>0</v>
      </c>
      <c r="AG214" s="410">
        <f t="shared" si="37"/>
        <v>0</v>
      </c>
      <c r="AH214" s="410">
        <f t="shared" si="37"/>
        <v>0</v>
      </c>
      <c r="AI214" s="410">
        <f t="shared" si="37"/>
        <v>0</v>
      </c>
      <c r="AJ214" s="410">
        <f t="shared" si="37"/>
        <v>0</v>
      </c>
      <c r="AK214" s="410">
        <f t="shared" si="37"/>
        <v>0</v>
      </c>
      <c r="AL214" s="410">
        <f t="shared" si="37"/>
        <v>0</v>
      </c>
      <c r="AM214" s="179"/>
    </row>
    <row r="215" spans="1:39" s="90" customFormat="1" ht="12.9" customHeight="1" outlineLevel="1">
      <c r="A215" s="477" t="str">
        <f t="shared" si="36"/>
        <v>1</v>
      </c>
      <c r="B215" s="575"/>
      <c r="C215" s="575"/>
      <c r="J215" s="305" t="s">
        <v>1032</v>
      </c>
      <c r="L215" s="310"/>
      <c r="M215" s="307" t="s">
        <v>1129</v>
      </c>
      <c r="N215" s="308"/>
      <c r="O215" s="309"/>
      <c r="P215" s="309"/>
      <c r="Q215" s="309"/>
      <c r="R215" s="309"/>
      <c r="S215" s="309"/>
      <c r="T215" s="309"/>
      <c r="U215" s="309"/>
      <c r="V215" s="309"/>
      <c r="W215" s="309"/>
      <c r="X215" s="309"/>
      <c r="Y215" s="309"/>
      <c r="Z215" s="309"/>
      <c r="AA215" s="309"/>
      <c r="AB215" s="309"/>
      <c r="AC215" s="309"/>
      <c r="AD215" s="309"/>
      <c r="AE215" s="309"/>
      <c r="AF215" s="309"/>
      <c r="AG215" s="309"/>
      <c r="AH215" s="309"/>
      <c r="AI215" s="309"/>
      <c r="AJ215" s="309"/>
      <c r="AK215" s="309"/>
      <c r="AL215" s="309"/>
      <c r="AM215" s="311"/>
    </row>
    <row r="216" spans="1:39" s="90" customFormat="1" ht="11.25" customHeight="1" outlineLevel="1">
      <c r="A216" s="145" t="str">
        <f ca="1">OFFSET(A216,-1,0)</f>
        <v>1</v>
      </c>
      <c r="B216" s="575" t="s">
        <v>1448</v>
      </c>
      <c r="C216" s="575" t="str">
        <f>M216</f>
        <v>Без разбивки</v>
      </c>
      <c r="J216" s="1154" t="s">
        <v>179</v>
      </c>
      <c r="K216" s="135" t="s">
        <v>265</v>
      </c>
      <c r="L216" s="89" t="str">
        <f>J216</f>
        <v>6.1</v>
      </c>
      <c r="M216" s="195" t="str">
        <f>"Без разбивки"</f>
        <v>Без разбивки</v>
      </c>
      <c r="N216" s="398" t="s">
        <v>352</v>
      </c>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179"/>
    </row>
    <row r="217" spans="1:39" s="90" customFormat="1" ht="11.25" customHeight="1" outlineLevel="1">
      <c r="A217" s="145" t="str">
        <f ca="1">A216</f>
        <v>1</v>
      </c>
      <c r="B217" s="575" t="s">
        <v>1645</v>
      </c>
      <c r="C217" s="575" t="str">
        <f>C216</f>
        <v>Без разбивки</v>
      </c>
      <c r="J217" s="1154"/>
      <c r="L217" s="193" t="str">
        <f>L216&amp;".1"</f>
        <v>6.1.1</v>
      </c>
      <c r="M217" s="194" t="s">
        <v>1033</v>
      </c>
      <c r="N217" s="399" t="s">
        <v>487</v>
      </c>
      <c r="O217" s="476">
        <f t="shared" ref="O217:AL217" si="38">IF(OR(AND(O216&lt;&gt;0,O218=0),AND(O216=0,O218&lt;&gt;0)),"Ошибка",IF(O218=0,0,O216/O218))</f>
        <v>0</v>
      </c>
      <c r="P217" s="476">
        <f t="shared" si="38"/>
        <v>0</v>
      </c>
      <c r="Q217" s="476">
        <f t="shared" si="38"/>
        <v>0</v>
      </c>
      <c r="R217" s="476">
        <f t="shared" si="38"/>
        <v>0</v>
      </c>
      <c r="S217" s="476">
        <f t="shared" si="38"/>
        <v>0</v>
      </c>
      <c r="T217" s="476">
        <f t="shared" si="38"/>
        <v>0</v>
      </c>
      <c r="U217" s="476">
        <f t="shared" si="38"/>
        <v>0</v>
      </c>
      <c r="V217" s="476">
        <f t="shared" si="38"/>
        <v>0</v>
      </c>
      <c r="W217" s="476">
        <f t="shared" si="38"/>
        <v>0</v>
      </c>
      <c r="X217" s="476">
        <f t="shared" si="38"/>
        <v>0</v>
      </c>
      <c r="Y217" s="476">
        <f t="shared" si="38"/>
        <v>0</v>
      </c>
      <c r="Z217" s="476">
        <f t="shared" si="38"/>
        <v>0</v>
      </c>
      <c r="AA217" s="476">
        <f t="shared" si="38"/>
        <v>0</v>
      </c>
      <c r="AB217" s="476">
        <f t="shared" si="38"/>
        <v>0</v>
      </c>
      <c r="AC217" s="476">
        <f t="shared" si="38"/>
        <v>0</v>
      </c>
      <c r="AD217" s="476">
        <f t="shared" si="38"/>
        <v>0</v>
      </c>
      <c r="AE217" s="476">
        <f t="shared" si="38"/>
        <v>0</v>
      </c>
      <c r="AF217" s="476">
        <f t="shared" si="38"/>
        <v>0</v>
      </c>
      <c r="AG217" s="476">
        <f t="shared" si="38"/>
        <v>0</v>
      </c>
      <c r="AH217" s="476">
        <f t="shared" si="38"/>
        <v>0</v>
      </c>
      <c r="AI217" s="476">
        <f t="shared" si="38"/>
        <v>0</v>
      </c>
      <c r="AJ217" s="476">
        <f t="shared" si="38"/>
        <v>0</v>
      </c>
      <c r="AK217" s="476">
        <f t="shared" si="38"/>
        <v>0</v>
      </c>
      <c r="AL217" s="476">
        <f t="shared" si="38"/>
        <v>0</v>
      </c>
      <c r="AM217" s="179"/>
    </row>
    <row r="218" spans="1:39" s="90" customFormat="1" ht="11.25" customHeight="1" outlineLevel="1">
      <c r="A218" s="145" t="str">
        <f ca="1">A217</f>
        <v>1</v>
      </c>
      <c r="B218" s="575" t="s">
        <v>1646</v>
      </c>
      <c r="C218" s="575" t="str">
        <f>C217</f>
        <v>Без разбивки</v>
      </c>
      <c r="J218" s="1154"/>
      <c r="L218" s="193" t="str">
        <f>L216&amp;".2"</f>
        <v>6.1.2</v>
      </c>
      <c r="M218" s="194" t="s">
        <v>1144</v>
      </c>
      <c r="N218" s="399" t="s">
        <v>1209</v>
      </c>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179"/>
    </row>
    <row r="219" spans="1:39" s="87" customFormat="1" ht="15" customHeight="1" outlineLevel="1">
      <c r="A219" s="477" t="str">
        <f>A215</f>
        <v>1</v>
      </c>
      <c r="B219" s="87" t="str">
        <f>A219&amp;"pIns1"</f>
        <v>1pIns1</v>
      </c>
      <c r="L219" s="140"/>
      <c r="M219" s="143" t="s">
        <v>353</v>
      </c>
      <c r="N219" s="141"/>
      <c r="O219" s="141"/>
      <c r="P219" s="141"/>
      <c r="Q219" s="141"/>
      <c r="R219" s="141"/>
      <c r="S219" s="141"/>
      <c r="T219" s="141"/>
      <c r="U219" s="141"/>
      <c r="V219" s="141"/>
      <c r="W219" s="141"/>
      <c r="X219" s="141"/>
      <c r="Y219" s="141"/>
      <c r="Z219" s="141"/>
      <c r="AA219" s="141"/>
      <c r="AB219" s="141"/>
      <c r="AC219" s="141"/>
      <c r="AD219" s="141"/>
      <c r="AE219" s="141"/>
      <c r="AF219" s="141"/>
      <c r="AG219" s="141"/>
      <c r="AH219" s="141"/>
      <c r="AI219" s="141"/>
      <c r="AJ219" s="141"/>
      <c r="AK219" s="141"/>
      <c r="AL219" s="141"/>
      <c r="AM219" s="152"/>
    </row>
    <row r="220" spans="1:39" s="90" customFormat="1" ht="12.9" customHeight="1" outlineLevel="1">
      <c r="A220" s="477" t="str">
        <f t="shared" si="36"/>
        <v>1</v>
      </c>
      <c r="B220" s="575"/>
      <c r="C220" s="575"/>
      <c r="J220" s="305" t="s">
        <v>1113</v>
      </c>
      <c r="L220" s="310"/>
      <c r="M220" s="307" t="s">
        <v>1130</v>
      </c>
      <c r="N220" s="308"/>
      <c r="O220" s="309"/>
      <c r="P220" s="309"/>
      <c r="Q220" s="309"/>
      <c r="R220" s="309"/>
      <c r="S220" s="309"/>
      <c r="T220" s="309"/>
      <c r="U220" s="309"/>
      <c r="V220" s="309"/>
      <c r="W220" s="309"/>
      <c r="X220" s="309"/>
      <c r="Y220" s="309"/>
      <c r="Z220" s="309"/>
      <c r="AA220" s="309"/>
      <c r="AB220" s="309"/>
      <c r="AC220" s="309"/>
      <c r="AD220" s="309"/>
      <c r="AE220" s="309"/>
      <c r="AF220" s="309"/>
      <c r="AG220" s="309"/>
      <c r="AH220" s="309"/>
      <c r="AI220" s="309"/>
      <c r="AJ220" s="309"/>
      <c r="AK220" s="309"/>
      <c r="AL220" s="309"/>
      <c r="AM220" s="311"/>
    </row>
    <row r="221" spans="1:39" s="87" customFormat="1" ht="15" customHeight="1" outlineLevel="1">
      <c r="A221" s="477" t="str">
        <f t="shared" si="36"/>
        <v>1</v>
      </c>
      <c r="B221" s="87" t="str">
        <f>A221&amp;"pIns2"</f>
        <v>1pIns2</v>
      </c>
      <c r="L221" s="140"/>
      <c r="M221" s="143" t="s">
        <v>1114</v>
      </c>
      <c r="N221" s="141"/>
      <c r="O221" s="141"/>
      <c r="P221" s="141"/>
      <c r="Q221" s="141"/>
      <c r="R221" s="141"/>
      <c r="S221" s="141"/>
      <c r="T221" s="141"/>
      <c r="U221" s="141"/>
      <c r="V221" s="141"/>
      <c r="W221" s="141"/>
      <c r="X221" s="141"/>
      <c r="Y221" s="141"/>
      <c r="Z221" s="141"/>
      <c r="AA221" s="141"/>
      <c r="AB221" s="141"/>
      <c r="AC221" s="141"/>
      <c r="AD221" s="141"/>
      <c r="AE221" s="141"/>
      <c r="AF221" s="141"/>
      <c r="AG221" s="141"/>
      <c r="AH221" s="141"/>
      <c r="AI221" s="141"/>
      <c r="AJ221" s="141"/>
      <c r="AK221" s="141"/>
      <c r="AL221" s="141"/>
      <c r="AM221" s="152"/>
    </row>
    <row r="222" spans="1:39">
      <c r="A222" s="134" t="s">
        <v>1041</v>
      </c>
      <c r="B222" s="484"/>
      <c r="C222" s="484"/>
    </row>
    <row r="223" spans="1:39" s="90" customFormat="1" ht="11.25" customHeight="1" outlineLevel="1">
      <c r="A223" s="145" t="str">
        <f ca="1">OFFSET(A223,-1,0)</f>
        <v>et_List06_voltage</v>
      </c>
      <c r="B223" s="575" t="s">
        <v>1448</v>
      </c>
      <c r="C223" s="575">
        <f>M223</f>
        <v>0</v>
      </c>
      <c r="J223" s="1154"/>
      <c r="K223" s="135" t="s">
        <v>265</v>
      </c>
      <c r="L223" s="89">
        <f>J223</f>
        <v>0</v>
      </c>
      <c r="M223" s="195"/>
      <c r="N223" s="137" t="s">
        <v>352</v>
      </c>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179"/>
    </row>
    <row r="224" spans="1:39" s="90" customFormat="1" ht="11.25" customHeight="1" outlineLevel="1">
      <c r="A224" s="145" t="str">
        <f ca="1">A223</f>
        <v>et_List06_voltage</v>
      </c>
      <c r="B224" s="575" t="s">
        <v>1645</v>
      </c>
      <c r="C224" s="575">
        <f>C223</f>
        <v>0</v>
      </c>
      <c r="J224" s="1154"/>
      <c r="L224" s="193" t="str">
        <f>L223&amp;".1"</f>
        <v>0.1</v>
      </c>
      <c r="M224" s="194" t="s">
        <v>1033</v>
      </c>
      <c r="N224" s="138" t="s">
        <v>487</v>
      </c>
      <c r="O224" s="476">
        <f t="shared" ref="O224:AL224" si="39">IF(OR(AND(O223&lt;&gt;0,O225=0),AND(O223=0,O225&lt;&gt;0)),"Ошибка",IF(O225=0,0,O223/O225))</f>
        <v>0</v>
      </c>
      <c r="P224" s="476">
        <f t="shared" si="39"/>
        <v>0</v>
      </c>
      <c r="Q224" s="476">
        <f t="shared" si="39"/>
        <v>0</v>
      </c>
      <c r="R224" s="476">
        <f t="shared" si="39"/>
        <v>0</v>
      </c>
      <c r="S224" s="476">
        <f t="shared" si="39"/>
        <v>0</v>
      </c>
      <c r="T224" s="476">
        <f t="shared" si="39"/>
        <v>0</v>
      </c>
      <c r="U224" s="476">
        <f t="shared" si="39"/>
        <v>0</v>
      </c>
      <c r="V224" s="476">
        <f t="shared" si="39"/>
        <v>0</v>
      </c>
      <c r="W224" s="476">
        <f t="shared" si="39"/>
        <v>0</v>
      </c>
      <c r="X224" s="476">
        <f t="shared" si="39"/>
        <v>0</v>
      </c>
      <c r="Y224" s="476">
        <f t="shared" si="39"/>
        <v>0</v>
      </c>
      <c r="Z224" s="476">
        <f t="shared" si="39"/>
        <v>0</v>
      </c>
      <c r="AA224" s="476">
        <f t="shared" si="39"/>
        <v>0</v>
      </c>
      <c r="AB224" s="476">
        <f t="shared" si="39"/>
        <v>0</v>
      </c>
      <c r="AC224" s="476">
        <f t="shared" si="39"/>
        <v>0</v>
      </c>
      <c r="AD224" s="476">
        <f t="shared" si="39"/>
        <v>0</v>
      </c>
      <c r="AE224" s="476">
        <f t="shared" si="39"/>
        <v>0</v>
      </c>
      <c r="AF224" s="476">
        <f t="shared" si="39"/>
        <v>0</v>
      </c>
      <c r="AG224" s="476">
        <f t="shared" si="39"/>
        <v>0</v>
      </c>
      <c r="AH224" s="476">
        <f t="shared" si="39"/>
        <v>0</v>
      </c>
      <c r="AI224" s="476">
        <f t="shared" si="39"/>
        <v>0</v>
      </c>
      <c r="AJ224" s="476">
        <f t="shared" si="39"/>
        <v>0</v>
      </c>
      <c r="AK224" s="476">
        <f t="shared" si="39"/>
        <v>0</v>
      </c>
      <c r="AL224" s="476">
        <f t="shared" si="39"/>
        <v>0</v>
      </c>
      <c r="AM224" s="179"/>
    </row>
    <row r="225" spans="1:39" s="90" customFormat="1" ht="11.25" customHeight="1" outlineLevel="1">
      <c r="A225" s="145" t="str">
        <f ca="1">A224</f>
        <v>et_List06_voltage</v>
      </c>
      <c r="B225" s="575" t="s">
        <v>1646</v>
      </c>
      <c r="C225" s="575">
        <f>C224</f>
        <v>0</v>
      </c>
      <c r="J225" s="1154"/>
      <c r="L225" s="193" t="str">
        <f>L223&amp;".2"</f>
        <v>0.2</v>
      </c>
      <c r="M225" s="194" t="s">
        <v>1144</v>
      </c>
      <c r="N225" s="138" t="s">
        <v>1209</v>
      </c>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179"/>
    </row>
    <row r="226" spans="1:39">
      <c r="A226" s="134" t="s">
        <v>1118</v>
      </c>
      <c r="B226" s="484"/>
      <c r="C226" s="484"/>
    </row>
    <row r="227" spans="1:39" s="90" customFormat="1" ht="11.25" customHeight="1" outlineLevel="1">
      <c r="A227" s="506" t="str">
        <f ca="1">OFFSET(A227,-1,0)</f>
        <v>et_List06_voltage2</v>
      </c>
      <c r="B227" s="575" t="s">
        <v>1450</v>
      </c>
      <c r="C227" s="575">
        <f>M227</f>
        <v>0</v>
      </c>
      <c r="J227" s="1153"/>
      <c r="K227" s="135" t="s">
        <v>265</v>
      </c>
      <c r="L227" s="89">
        <f>J227</f>
        <v>0</v>
      </c>
      <c r="M227" s="176"/>
      <c r="N227" s="475" t="s">
        <v>352</v>
      </c>
      <c r="O227" s="476">
        <f>O228+O231</f>
        <v>0</v>
      </c>
      <c r="P227" s="476">
        <f>P228+P231</f>
        <v>0</v>
      </c>
      <c r="Q227" s="476">
        <f>Q228+Q231</f>
        <v>0</v>
      </c>
      <c r="R227" s="476">
        <f>R228+R231</f>
        <v>0</v>
      </c>
      <c r="S227" s="476">
        <f>S228+S231</f>
        <v>0</v>
      </c>
      <c r="T227" s="476">
        <f>T229*T230+T232*T233/1000*12</f>
        <v>0</v>
      </c>
      <c r="U227" s="476">
        <f t="shared" ref="U227:AL227" si="40">U229*U230+U232*U233/1000*12</f>
        <v>0</v>
      </c>
      <c r="V227" s="476">
        <f t="shared" si="40"/>
        <v>0</v>
      </c>
      <c r="W227" s="476">
        <f t="shared" si="40"/>
        <v>0</v>
      </c>
      <c r="X227" s="476">
        <f t="shared" si="40"/>
        <v>0</v>
      </c>
      <c r="Y227" s="476">
        <f t="shared" si="40"/>
        <v>0</v>
      </c>
      <c r="Z227" s="476">
        <f t="shared" si="40"/>
        <v>0</v>
      </c>
      <c r="AA227" s="476">
        <f t="shared" si="40"/>
        <v>0</v>
      </c>
      <c r="AB227" s="476">
        <f t="shared" si="40"/>
        <v>0</v>
      </c>
      <c r="AC227" s="476">
        <f t="shared" si="40"/>
        <v>0</v>
      </c>
      <c r="AD227" s="476">
        <f t="shared" si="40"/>
        <v>0</v>
      </c>
      <c r="AE227" s="476">
        <f t="shared" si="40"/>
        <v>0</v>
      </c>
      <c r="AF227" s="476">
        <f t="shared" si="40"/>
        <v>0</v>
      </c>
      <c r="AG227" s="476">
        <f t="shared" si="40"/>
        <v>0</v>
      </c>
      <c r="AH227" s="476">
        <f t="shared" si="40"/>
        <v>0</v>
      </c>
      <c r="AI227" s="476">
        <f t="shared" si="40"/>
        <v>0</v>
      </c>
      <c r="AJ227" s="476">
        <f t="shared" si="40"/>
        <v>0</v>
      </c>
      <c r="AK227" s="476">
        <f t="shared" si="40"/>
        <v>0</v>
      </c>
      <c r="AL227" s="476">
        <f t="shared" si="40"/>
        <v>0</v>
      </c>
      <c r="AM227" s="179"/>
    </row>
    <row r="228" spans="1:39" s="90" customFormat="1" ht="11.25" customHeight="1" outlineLevel="1">
      <c r="A228" s="506" t="str">
        <f t="shared" ref="A228:A233" ca="1" si="41">OFFSET(A228,-1,0)</f>
        <v>et_List06_voltage2</v>
      </c>
      <c r="B228" s="575" t="s">
        <v>1686</v>
      </c>
      <c r="C228" s="575">
        <f t="shared" ref="C228:C233" si="42">C227</f>
        <v>0</v>
      </c>
      <c r="J228" s="1153"/>
      <c r="L228" s="475" t="str">
        <f>L227&amp;".1"</f>
        <v>0.1</v>
      </c>
      <c r="M228" s="507" t="s">
        <v>1364</v>
      </c>
      <c r="N228" s="475" t="s">
        <v>1398</v>
      </c>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179"/>
    </row>
    <row r="229" spans="1:39" s="90" customFormat="1" ht="11.25" customHeight="1" outlineLevel="1">
      <c r="A229" s="506" t="str">
        <f t="shared" ca="1" si="41"/>
        <v>et_List06_voltage2</v>
      </c>
      <c r="B229" s="575" t="s">
        <v>1698</v>
      </c>
      <c r="C229" s="575">
        <f t="shared" si="42"/>
        <v>0</v>
      </c>
      <c r="J229" s="1153"/>
      <c r="L229" s="475" t="str">
        <f>L227&amp;".1.1"</f>
        <v>0.1.1</v>
      </c>
      <c r="M229" s="508" t="s">
        <v>1033</v>
      </c>
      <c r="N229" s="474" t="s">
        <v>487</v>
      </c>
      <c r="O229" s="476">
        <f t="shared" ref="O229:AL229" si="43">IF(OR(AND(O228&lt;&gt;0,O230=0),AND(O228=0,O230&lt;&gt;0)),"Ошибка",IF(O230=0,0,O228/O230))</f>
        <v>0</v>
      </c>
      <c r="P229" s="476">
        <f t="shared" si="43"/>
        <v>0</v>
      </c>
      <c r="Q229" s="476">
        <f t="shared" si="43"/>
        <v>0</v>
      </c>
      <c r="R229" s="476">
        <f t="shared" si="43"/>
        <v>0</v>
      </c>
      <c r="S229" s="476">
        <f t="shared" si="43"/>
        <v>0</v>
      </c>
      <c r="T229" s="476">
        <f t="shared" si="43"/>
        <v>0</v>
      </c>
      <c r="U229" s="476">
        <f t="shared" si="43"/>
        <v>0</v>
      </c>
      <c r="V229" s="476">
        <f t="shared" si="43"/>
        <v>0</v>
      </c>
      <c r="W229" s="476">
        <f t="shared" si="43"/>
        <v>0</v>
      </c>
      <c r="X229" s="476">
        <f t="shared" si="43"/>
        <v>0</v>
      </c>
      <c r="Y229" s="476">
        <f t="shared" si="43"/>
        <v>0</v>
      </c>
      <c r="Z229" s="476">
        <f t="shared" si="43"/>
        <v>0</v>
      </c>
      <c r="AA229" s="476">
        <f t="shared" si="43"/>
        <v>0</v>
      </c>
      <c r="AB229" s="476">
        <f t="shared" si="43"/>
        <v>0</v>
      </c>
      <c r="AC229" s="476">
        <f t="shared" si="43"/>
        <v>0</v>
      </c>
      <c r="AD229" s="476">
        <f t="shared" si="43"/>
        <v>0</v>
      </c>
      <c r="AE229" s="476">
        <f t="shared" si="43"/>
        <v>0</v>
      </c>
      <c r="AF229" s="476">
        <f t="shared" si="43"/>
        <v>0</v>
      </c>
      <c r="AG229" s="476">
        <f t="shared" si="43"/>
        <v>0</v>
      </c>
      <c r="AH229" s="476">
        <f t="shared" si="43"/>
        <v>0</v>
      </c>
      <c r="AI229" s="476">
        <f t="shared" si="43"/>
        <v>0</v>
      </c>
      <c r="AJ229" s="476">
        <f t="shared" si="43"/>
        <v>0</v>
      </c>
      <c r="AK229" s="476">
        <f t="shared" si="43"/>
        <v>0</v>
      </c>
      <c r="AL229" s="476">
        <f t="shared" si="43"/>
        <v>0</v>
      </c>
      <c r="AM229" s="179"/>
    </row>
    <row r="230" spans="1:39" s="90" customFormat="1" ht="11.25" customHeight="1" outlineLevel="1">
      <c r="A230" s="506" t="str">
        <f t="shared" ca="1" si="41"/>
        <v>et_List06_voltage2</v>
      </c>
      <c r="B230" s="575" t="s">
        <v>1699</v>
      </c>
      <c r="C230" s="575">
        <f t="shared" si="42"/>
        <v>0</v>
      </c>
      <c r="J230" s="1153"/>
      <c r="L230" s="475" t="str">
        <f>L227&amp;".1.2"</f>
        <v>0.1.2</v>
      </c>
      <c r="M230" s="508" t="s">
        <v>1144</v>
      </c>
      <c r="N230" s="474" t="s">
        <v>1209</v>
      </c>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179"/>
    </row>
    <row r="231" spans="1:39" s="90" customFormat="1" ht="11.25" customHeight="1" outlineLevel="1">
      <c r="A231" s="506" t="str">
        <f t="shared" ca="1" si="41"/>
        <v>et_List06_voltage2</v>
      </c>
      <c r="B231" s="575" t="s">
        <v>1649</v>
      </c>
      <c r="C231" s="575">
        <f t="shared" si="42"/>
        <v>0</v>
      </c>
      <c r="J231" s="1153"/>
      <c r="L231" s="475" t="str">
        <f>L227&amp;".2"</f>
        <v>0.2</v>
      </c>
      <c r="M231" s="507" t="s">
        <v>1365</v>
      </c>
      <c r="N231" s="475" t="s">
        <v>1398</v>
      </c>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179"/>
    </row>
    <row r="232" spans="1:39" s="90" customFormat="1" ht="11.25" customHeight="1" outlineLevel="1">
      <c r="A232" s="506" t="str">
        <f t="shared" ca="1" si="41"/>
        <v>et_List06_voltage2</v>
      </c>
      <c r="B232" s="575" t="s">
        <v>1700</v>
      </c>
      <c r="C232" s="575">
        <f t="shared" si="42"/>
        <v>0</v>
      </c>
      <c r="J232" s="1153"/>
      <c r="L232" s="475" t="str">
        <f>L227&amp;".2.1"</f>
        <v>0.2.1</v>
      </c>
      <c r="M232" s="508" t="s">
        <v>1115</v>
      </c>
      <c r="N232" s="474" t="s">
        <v>1117</v>
      </c>
      <c r="O232" s="476">
        <f t="shared" ref="O232:AL232" si="44">IF(OR(AND(O231&lt;&gt;0,O233=0),AND(O231=0,O233&lt;&gt;0)),"Ошибка",IF(O233=0,0,O231/O233*1000/12))</f>
        <v>0</v>
      </c>
      <c r="P232" s="476">
        <f t="shared" si="44"/>
        <v>0</v>
      </c>
      <c r="Q232" s="476">
        <f t="shared" si="44"/>
        <v>0</v>
      </c>
      <c r="R232" s="476">
        <f t="shared" si="44"/>
        <v>0</v>
      </c>
      <c r="S232" s="476">
        <f t="shared" si="44"/>
        <v>0</v>
      </c>
      <c r="T232" s="476">
        <f t="shared" si="44"/>
        <v>0</v>
      </c>
      <c r="U232" s="476">
        <f t="shared" si="44"/>
        <v>0</v>
      </c>
      <c r="V232" s="476">
        <f t="shared" si="44"/>
        <v>0</v>
      </c>
      <c r="W232" s="476">
        <f t="shared" si="44"/>
        <v>0</v>
      </c>
      <c r="X232" s="476">
        <f t="shared" si="44"/>
        <v>0</v>
      </c>
      <c r="Y232" s="476">
        <f t="shared" si="44"/>
        <v>0</v>
      </c>
      <c r="Z232" s="476">
        <f t="shared" si="44"/>
        <v>0</v>
      </c>
      <c r="AA232" s="476">
        <f t="shared" si="44"/>
        <v>0</v>
      </c>
      <c r="AB232" s="476">
        <f t="shared" si="44"/>
        <v>0</v>
      </c>
      <c r="AC232" s="476">
        <f t="shared" si="44"/>
        <v>0</v>
      </c>
      <c r="AD232" s="476">
        <f t="shared" si="44"/>
        <v>0</v>
      </c>
      <c r="AE232" s="476">
        <f t="shared" si="44"/>
        <v>0</v>
      </c>
      <c r="AF232" s="476">
        <f t="shared" si="44"/>
        <v>0</v>
      </c>
      <c r="AG232" s="476">
        <f t="shared" si="44"/>
        <v>0</v>
      </c>
      <c r="AH232" s="476">
        <f t="shared" si="44"/>
        <v>0</v>
      </c>
      <c r="AI232" s="476">
        <f t="shared" si="44"/>
        <v>0</v>
      </c>
      <c r="AJ232" s="476">
        <f t="shared" si="44"/>
        <v>0</v>
      </c>
      <c r="AK232" s="476">
        <f t="shared" si="44"/>
        <v>0</v>
      </c>
      <c r="AL232" s="476">
        <f t="shared" si="44"/>
        <v>0</v>
      </c>
      <c r="AM232" s="179"/>
    </row>
    <row r="233" spans="1:39" s="90" customFormat="1" ht="11.25" customHeight="1" outlineLevel="1">
      <c r="A233" s="506" t="str">
        <f t="shared" ca="1" si="41"/>
        <v>et_List06_voltage2</v>
      </c>
      <c r="B233" s="575" t="s">
        <v>1701</v>
      </c>
      <c r="C233" s="575">
        <f t="shared" si="42"/>
        <v>0</v>
      </c>
      <c r="J233" s="1153"/>
      <c r="L233" s="475" t="str">
        <f>L227&amp;".2.2"</f>
        <v>0.2.2</v>
      </c>
      <c r="M233" s="508" t="s">
        <v>1145</v>
      </c>
      <c r="N233" s="474" t="s">
        <v>1116</v>
      </c>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179"/>
    </row>
    <row r="235" spans="1:39" s="131" customFormat="1" ht="30" customHeight="1">
      <c r="A235" s="130" t="s">
        <v>1042</v>
      </c>
      <c r="M235" s="132"/>
      <c r="N235" s="132"/>
      <c r="O235" s="132"/>
      <c r="P235" s="132"/>
      <c r="AA235" s="133"/>
    </row>
    <row r="236" spans="1:39">
      <c r="A236" s="134" t="s">
        <v>1043</v>
      </c>
    </row>
    <row r="237" spans="1:39" s="91" customFormat="1" ht="15" customHeight="1">
      <c r="A237" s="168" t="s">
        <v>18</v>
      </c>
      <c r="L237" s="222" t="str">
        <f>INDEX('Общие сведения'!$J$114:$J$140,MATCH($A237,'Общие сведения'!$D$114:$D$140,0))</f>
        <v>Тариф 1 (Водоотведение) - тариф на транспортировку сточных вод</v>
      </c>
      <c r="M237" s="144"/>
      <c r="N237" s="139"/>
      <c r="O237" s="139"/>
      <c r="P237" s="139"/>
      <c r="Q237" s="139"/>
      <c r="R237" s="139"/>
      <c r="S237" s="139"/>
      <c r="T237" s="139"/>
      <c r="U237" s="139"/>
      <c r="V237" s="139"/>
      <c r="W237" s="139"/>
      <c r="X237" s="139"/>
      <c r="Y237" s="139"/>
      <c r="Z237" s="139"/>
      <c r="AA237" s="139"/>
      <c r="AB237" s="139"/>
      <c r="AC237" s="139"/>
      <c r="AD237" s="139"/>
      <c r="AE237" s="139"/>
      <c r="AF237" s="139"/>
      <c r="AG237" s="139"/>
      <c r="AH237" s="139"/>
      <c r="AI237" s="139"/>
      <c r="AJ237" s="139"/>
      <c r="AK237" s="139"/>
      <c r="AL237" s="139"/>
      <c r="AM237" s="201"/>
    </row>
    <row r="238" spans="1:39" s="93" customFormat="1" ht="22.8" outlineLevel="1">
      <c r="A238" s="477" t="str">
        <f>A237</f>
        <v>1</v>
      </c>
      <c r="B238" s="91" t="s">
        <v>1406</v>
      </c>
      <c r="L238" s="202">
        <v>1</v>
      </c>
      <c r="M238" s="203" t="s">
        <v>357</v>
      </c>
      <c r="N238" s="137" t="s">
        <v>352</v>
      </c>
      <c r="O238" s="205">
        <f>SUM(O239:O243)</f>
        <v>0</v>
      </c>
      <c r="P238" s="205">
        <f>SUM(P239:P243)</f>
        <v>0</v>
      </c>
      <c r="Q238" s="205">
        <f>SUM(Q239:Q243)</f>
        <v>0</v>
      </c>
      <c r="R238" s="205">
        <f>SUM(R239:R243)</f>
        <v>0</v>
      </c>
      <c r="S238" s="205">
        <f t="shared" ref="S238:AL238" si="45">SUM(S239:S243)</f>
        <v>0</v>
      </c>
      <c r="T238" s="205">
        <f t="shared" si="45"/>
        <v>0</v>
      </c>
      <c r="U238" s="205">
        <f t="shared" si="45"/>
        <v>0</v>
      </c>
      <c r="V238" s="205">
        <f t="shared" si="45"/>
        <v>0</v>
      </c>
      <c r="W238" s="205">
        <f t="shared" si="45"/>
        <v>0</v>
      </c>
      <c r="X238" s="205">
        <f t="shared" si="45"/>
        <v>0</v>
      </c>
      <c r="Y238" s="205">
        <f t="shared" si="45"/>
        <v>0</v>
      </c>
      <c r="Z238" s="205">
        <f t="shared" si="45"/>
        <v>0</v>
      </c>
      <c r="AA238" s="205">
        <f>SUM(AA239:AA243)</f>
        <v>0</v>
      </c>
      <c r="AB238" s="205">
        <f>SUM(AB239:AB243)</f>
        <v>0</v>
      </c>
      <c r="AC238" s="205">
        <f t="shared" si="45"/>
        <v>0</v>
      </c>
      <c r="AD238" s="205">
        <f t="shared" si="45"/>
        <v>0</v>
      </c>
      <c r="AE238" s="205">
        <f t="shared" si="45"/>
        <v>0</v>
      </c>
      <c r="AF238" s="205">
        <f t="shared" si="45"/>
        <v>0</v>
      </c>
      <c r="AG238" s="205">
        <f t="shared" si="45"/>
        <v>0</v>
      </c>
      <c r="AH238" s="205">
        <f t="shared" si="45"/>
        <v>0</v>
      </c>
      <c r="AI238" s="205">
        <f t="shared" si="45"/>
        <v>0</v>
      </c>
      <c r="AJ238" s="205">
        <f t="shared" si="45"/>
        <v>0</v>
      </c>
      <c r="AK238" s="205">
        <f t="shared" si="45"/>
        <v>0</v>
      </c>
      <c r="AL238" s="205">
        <f t="shared" si="45"/>
        <v>0</v>
      </c>
      <c r="AM238" s="179"/>
    </row>
    <row r="239" spans="1:39" s="91" customFormat="1" outlineLevel="1">
      <c r="A239" s="477" t="str">
        <f t="shared" ref="A239:A285" si="46">A238</f>
        <v>1</v>
      </c>
      <c r="B239" s="91" t="s">
        <v>1407</v>
      </c>
      <c r="L239" s="206" t="s">
        <v>149</v>
      </c>
      <c r="M239" s="207" t="s">
        <v>358</v>
      </c>
      <c r="N239" s="137" t="s">
        <v>352</v>
      </c>
      <c r="O239" s="208"/>
      <c r="P239" s="208"/>
      <c r="Q239" s="208"/>
      <c r="R239" s="208"/>
      <c r="S239" s="208"/>
      <c r="T239" s="208"/>
      <c r="U239" s="208"/>
      <c r="V239" s="208"/>
      <c r="W239" s="208"/>
      <c r="X239" s="208"/>
      <c r="Y239" s="208"/>
      <c r="Z239" s="208"/>
      <c r="AA239" s="208"/>
      <c r="AB239" s="208"/>
      <c r="AC239" s="208"/>
      <c r="AD239" s="208"/>
      <c r="AE239" s="208"/>
      <c r="AF239" s="208"/>
      <c r="AG239" s="208"/>
      <c r="AH239" s="208"/>
      <c r="AI239" s="208"/>
      <c r="AJ239" s="208"/>
      <c r="AK239" s="208"/>
      <c r="AL239" s="208"/>
      <c r="AM239" s="179"/>
    </row>
    <row r="240" spans="1:39" s="91" customFormat="1" outlineLevel="1">
      <c r="A240" s="477" t="str">
        <f t="shared" si="46"/>
        <v>1</v>
      </c>
      <c r="B240" s="91" t="s">
        <v>1408</v>
      </c>
      <c r="L240" s="206" t="s">
        <v>150</v>
      </c>
      <c r="M240" s="207" t="s">
        <v>359</v>
      </c>
      <c r="N240" s="137" t="s">
        <v>352</v>
      </c>
      <c r="O240" s="208"/>
      <c r="P240" s="208"/>
      <c r="Q240" s="208"/>
      <c r="R240" s="208"/>
      <c r="S240" s="208"/>
      <c r="T240" s="208"/>
      <c r="U240" s="208"/>
      <c r="V240" s="208"/>
      <c r="W240" s="208"/>
      <c r="X240" s="208"/>
      <c r="Y240" s="208"/>
      <c r="Z240" s="208"/>
      <c r="AA240" s="208"/>
      <c r="AB240" s="208"/>
      <c r="AC240" s="208"/>
      <c r="AD240" s="208"/>
      <c r="AE240" s="208"/>
      <c r="AF240" s="208"/>
      <c r="AG240" s="208"/>
      <c r="AH240" s="208"/>
      <c r="AI240" s="208"/>
      <c r="AJ240" s="208"/>
      <c r="AK240" s="208"/>
      <c r="AL240" s="208"/>
      <c r="AM240" s="179"/>
    </row>
    <row r="241" spans="1:39" s="91" customFormat="1" outlineLevel="1">
      <c r="A241" s="477" t="str">
        <f t="shared" si="46"/>
        <v>1</v>
      </c>
      <c r="B241" s="91" t="s">
        <v>1519</v>
      </c>
      <c r="L241" s="206" t="s">
        <v>360</v>
      </c>
      <c r="M241" s="207" t="s">
        <v>361</v>
      </c>
      <c r="N241" s="137" t="s">
        <v>352</v>
      </c>
      <c r="O241" s="208"/>
      <c r="P241" s="208"/>
      <c r="Q241" s="208"/>
      <c r="R241" s="208"/>
      <c r="S241" s="208"/>
      <c r="T241" s="208"/>
      <c r="U241" s="208"/>
      <c r="V241" s="208"/>
      <c r="W241" s="208"/>
      <c r="X241" s="208"/>
      <c r="Y241" s="208"/>
      <c r="Z241" s="208"/>
      <c r="AA241" s="208"/>
      <c r="AB241" s="208"/>
      <c r="AC241" s="208"/>
      <c r="AD241" s="208"/>
      <c r="AE241" s="208"/>
      <c r="AF241" s="208"/>
      <c r="AG241" s="208"/>
      <c r="AH241" s="208"/>
      <c r="AI241" s="208"/>
      <c r="AJ241" s="208"/>
      <c r="AK241" s="208"/>
      <c r="AL241" s="208"/>
      <c r="AM241" s="179"/>
    </row>
    <row r="242" spans="1:39" s="91" customFormat="1" outlineLevel="1">
      <c r="A242" s="477" t="str">
        <f t="shared" si="46"/>
        <v>1</v>
      </c>
      <c r="B242" s="91" t="s">
        <v>1527</v>
      </c>
      <c r="L242" s="206" t="s">
        <v>362</v>
      </c>
      <c r="M242" s="207" t="s">
        <v>363</v>
      </c>
      <c r="N242" s="137" t="s">
        <v>352</v>
      </c>
      <c r="O242" s="208"/>
      <c r="P242" s="208"/>
      <c r="Q242" s="208"/>
      <c r="R242" s="208"/>
      <c r="S242" s="208"/>
      <c r="T242" s="208"/>
      <c r="U242" s="208"/>
      <c r="V242" s="208"/>
      <c r="W242" s="208"/>
      <c r="X242" s="208"/>
      <c r="Y242" s="208"/>
      <c r="Z242" s="208"/>
      <c r="AA242" s="208"/>
      <c r="AB242" s="208"/>
      <c r="AC242" s="208"/>
      <c r="AD242" s="208"/>
      <c r="AE242" s="208"/>
      <c r="AF242" s="208"/>
      <c r="AG242" s="208"/>
      <c r="AH242" s="208"/>
      <c r="AI242" s="208"/>
      <c r="AJ242" s="208"/>
      <c r="AK242" s="208"/>
      <c r="AL242" s="208"/>
      <c r="AM242" s="179"/>
    </row>
    <row r="243" spans="1:39" s="91" customFormat="1" outlineLevel="1">
      <c r="A243" s="477" t="str">
        <f t="shared" si="46"/>
        <v>1</v>
      </c>
      <c r="B243" s="91" t="s">
        <v>1565</v>
      </c>
      <c r="L243" s="206" t="s">
        <v>364</v>
      </c>
      <c r="M243" s="207" t="s">
        <v>365</v>
      </c>
      <c r="N243" s="137" t="s">
        <v>352</v>
      </c>
      <c r="O243" s="208"/>
      <c r="P243" s="208"/>
      <c r="Q243" s="208"/>
      <c r="R243" s="208"/>
      <c r="S243" s="208"/>
      <c r="T243" s="208"/>
      <c r="U243" s="208"/>
      <c r="V243" s="208"/>
      <c r="W243" s="208"/>
      <c r="X243" s="208"/>
      <c r="Y243" s="208"/>
      <c r="Z243" s="208"/>
      <c r="AA243" s="208"/>
      <c r="AB243" s="208"/>
      <c r="AC243" s="208"/>
      <c r="AD243" s="208"/>
      <c r="AE243" s="208"/>
      <c r="AF243" s="208"/>
      <c r="AG243" s="208"/>
      <c r="AH243" s="208"/>
      <c r="AI243" s="208"/>
      <c r="AJ243" s="208"/>
      <c r="AK243" s="208"/>
      <c r="AL243" s="208"/>
      <c r="AM243" s="179"/>
    </row>
    <row r="244" spans="1:39" s="93" customFormat="1" outlineLevel="1">
      <c r="A244" s="477" t="str">
        <f t="shared" si="46"/>
        <v>1</v>
      </c>
      <c r="B244" s="91" t="s">
        <v>1438</v>
      </c>
      <c r="L244" s="202">
        <v>2</v>
      </c>
      <c r="M244" s="203" t="s">
        <v>366</v>
      </c>
      <c r="N244" s="137" t="s">
        <v>352</v>
      </c>
      <c r="O244" s="205">
        <f t="shared" ref="O244:AL244" si="47">SUM(O245:O249)</f>
        <v>0</v>
      </c>
      <c r="P244" s="205">
        <f t="shared" si="47"/>
        <v>0</v>
      </c>
      <c r="Q244" s="205">
        <f t="shared" si="47"/>
        <v>0</v>
      </c>
      <c r="R244" s="205">
        <f t="shared" si="47"/>
        <v>0</v>
      </c>
      <c r="S244" s="205">
        <f t="shared" si="47"/>
        <v>0</v>
      </c>
      <c r="T244" s="205">
        <f t="shared" si="47"/>
        <v>0</v>
      </c>
      <c r="U244" s="205">
        <f t="shared" si="47"/>
        <v>0</v>
      </c>
      <c r="V244" s="205">
        <f t="shared" si="47"/>
        <v>0</v>
      </c>
      <c r="W244" s="205">
        <f t="shared" si="47"/>
        <v>0</v>
      </c>
      <c r="X244" s="205">
        <f t="shared" si="47"/>
        <v>0</v>
      </c>
      <c r="Y244" s="205">
        <f t="shared" si="47"/>
        <v>0</v>
      </c>
      <c r="Z244" s="205">
        <f t="shared" si="47"/>
        <v>0</v>
      </c>
      <c r="AA244" s="205">
        <f>SUM(AA245:AA249)</f>
        <v>0</v>
      </c>
      <c r="AB244" s="205">
        <f>SUM(AB245:AB249)</f>
        <v>0</v>
      </c>
      <c r="AC244" s="205">
        <f t="shared" si="47"/>
        <v>0</v>
      </c>
      <c r="AD244" s="205">
        <f t="shared" si="47"/>
        <v>0</v>
      </c>
      <c r="AE244" s="205">
        <f t="shared" si="47"/>
        <v>0</v>
      </c>
      <c r="AF244" s="205">
        <f t="shared" si="47"/>
        <v>0</v>
      </c>
      <c r="AG244" s="205">
        <f t="shared" si="47"/>
        <v>0</v>
      </c>
      <c r="AH244" s="205">
        <f t="shared" si="47"/>
        <v>0</v>
      </c>
      <c r="AI244" s="205">
        <f t="shared" si="47"/>
        <v>0</v>
      </c>
      <c r="AJ244" s="205">
        <f t="shared" si="47"/>
        <v>0</v>
      </c>
      <c r="AK244" s="205">
        <f t="shared" si="47"/>
        <v>0</v>
      </c>
      <c r="AL244" s="205">
        <f t="shared" si="47"/>
        <v>0</v>
      </c>
      <c r="AM244" s="179"/>
    </row>
    <row r="245" spans="1:39" s="91" customFormat="1" outlineLevel="1">
      <c r="A245" s="477" t="str">
        <f t="shared" si="46"/>
        <v>1</v>
      </c>
      <c r="B245" s="91" t="s">
        <v>1439</v>
      </c>
      <c r="L245" s="206" t="s">
        <v>17</v>
      </c>
      <c r="M245" s="207" t="s">
        <v>358</v>
      </c>
      <c r="N245" s="137" t="s">
        <v>352</v>
      </c>
      <c r="O245" s="208"/>
      <c r="P245" s="208"/>
      <c r="Q245" s="208"/>
      <c r="R245" s="208"/>
      <c r="S245" s="208"/>
      <c r="T245" s="208"/>
      <c r="U245" s="208"/>
      <c r="V245" s="208"/>
      <c r="W245" s="208"/>
      <c r="X245" s="208"/>
      <c r="Y245" s="208"/>
      <c r="Z245" s="208"/>
      <c r="AA245" s="208"/>
      <c r="AB245" s="208"/>
      <c r="AC245" s="208"/>
      <c r="AD245" s="208"/>
      <c r="AE245" s="208"/>
      <c r="AF245" s="208"/>
      <c r="AG245" s="208"/>
      <c r="AH245" s="208"/>
      <c r="AI245" s="208"/>
      <c r="AJ245" s="208"/>
      <c r="AK245" s="208"/>
      <c r="AL245" s="208"/>
      <c r="AM245" s="179"/>
    </row>
    <row r="246" spans="1:39" s="91" customFormat="1" outlineLevel="1">
      <c r="A246" s="477" t="str">
        <f t="shared" si="46"/>
        <v>1</v>
      </c>
      <c r="B246" s="91" t="s">
        <v>1576</v>
      </c>
      <c r="L246" s="206" t="s">
        <v>138</v>
      </c>
      <c r="M246" s="207" t="s">
        <v>359</v>
      </c>
      <c r="N246" s="137" t="s">
        <v>352</v>
      </c>
      <c r="O246" s="208"/>
      <c r="P246" s="208"/>
      <c r="Q246" s="208"/>
      <c r="R246" s="208"/>
      <c r="S246" s="208"/>
      <c r="T246" s="208"/>
      <c r="U246" s="208"/>
      <c r="V246" s="208"/>
      <c r="W246" s="208"/>
      <c r="X246" s="208"/>
      <c r="Y246" s="208"/>
      <c r="Z246" s="208"/>
      <c r="AA246" s="208"/>
      <c r="AB246" s="208"/>
      <c r="AC246" s="208"/>
      <c r="AD246" s="208"/>
      <c r="AE246" s="208"/>
      <c r="AF246" s="208"/>
      <c r="AG246" s="208"/>
      <c r="AH246" s="208"/>
      <c r="AI246" s="208"/>
      <c r="AJ246" s="208"/>
      <c r="AK246" s="208"/>
      <c r="AL246" s="208"/>
      <c r="AM246" s="179"/>
    </row>
    <row r="247" spans="1:39" s="91" customFormat="1" outlineLevel="1">
      <c r="A247" s="477" t="str">
        <f t="shared" si="46"/>
        <v>1</v>
      </c>
      <c r="B247" s="91" t="s">
        <v>1577</v>
      </c>
      <c r="L247" s="206" t="s">
        <v>151</v>
      </c>
      <c r="M247" s="207" t="s">
        <v>361</v>
      </c>
      <c r="N247" s="137" t="s">
        <v>352</v>
      </c>
      <c r="O247" s="208"/>
      <c r="P247" s="208"/>
      <c r="Q247" s="208"/>
      <c r="R247" s="208"/>
      <c r="S247" s="208"/>
      <c r="T247" s="208"/>
      <c r="U247" s="208"/>
      <c r="V247" s="208"/>
      <c r="W247" s="208"/>
      <c r="X247" s="208"/>
      <c r="Y247" s="208"/>
      <c r="Z247" s="208"/>
      <c r="AA247" s="208"/>
      <c r="AB247" s="208"/>
      <c r="AC247" s="208"/>
      <c r="AD247" s="208"/>
      <c r="AE247" s="208"/>
      <c r="AF247" s="208"/>
      <c r="AG247" s="208"/>
      <c r="AH247" s="208"/>
      <c r="AI247" s="208"/>
      <c r="AJ247" s="208"/>
      <c r="AK247" s="208"/>
      <c r="AL247" s="208"/>
      <c r="AM247" s="179"/>
    </row>
    <row r="248" spans="1:39" s="91" customFormat="1" outlineLevel="1">
      <c r="A248" s="477" t="str">
        <f t="shared" si="46"/>
        <v>1</v>
      </c>
      <c r="B248" s="91" t="s">
        <v>1587</v>
      </c>
      <c r="L248" s="206" t="s">
        <v>153</v>
      </c>
      <c r="M248" s="207" t="s">
        <v>363</v>
      </c>
      <c r="N248" s="137" t="s">
        <v>352</v>
      </c>
      <c r="O248" s="208"/>
      <c r="P248" s="208"/>
      <c r="Q248" s="208"/>
      <c r="R248" s="208"/>
      <c r="S248" s="208"/>
      <c r="T248" s="208"/>
      <c r="U248" s="208"/>
      <c r="V248" s="208"/>
      <c r="W248" s="208"/>
      <c r="X248" s="208"/>
      <c r="Y248" s="208"/>
      <c r="Z248" s="208"/>
      <c r="AA248" s="208"/>
      <c r="AB248" s="208"/>
      <c r="AC248" s="208"/>
      <c r="AD248" s="208"/>
      <c r="AE248" s="208"/>
      <c r="AF248" s="208"/>
      <c r="AG248" s="208"/>
      <c r="AH248" s="208"/>
      <c r="AI248" s="208"/>
      <c r="AJ248" s="208"/>
      <c r="AK248" s="208"/>
      <c r="AL248" s="208"/>
      <c r="AM248" s="179"/>
    </row>
    <row r="249" spans="1:39" s="91" customFormat="1" outlineLevel="1">
      <c r="A249" s="477" t="str">
        <f t="shared" si="46"/>
        <v>1</v>
      </c>
      <c r="B249" s="91" t="s">
        <v>1588</v>
      </c>
      <c r="L249" s="206" t="s">
        <v>367</v>
      </c>
      <c r="M249" s="207" t="s">
        <v>365</v>
      </c>
      <c r="N249" s="137" t="s">
        <v>352</v>
      </c>
      <c r="O249" s="208"/>
      <c r="P249" s="208"/>
      <c r="Q249" s="208"/>
      <c r="R249" s="208"/>
      <c r="S249" s="208"/>
      <c r="T249" s="208"/>
      <c r="U249" s="208"/>
      <c r="V249" s="208"/>
      <c r="W249" s="208"/>
      <c r="X249" s="208"/>
      <c r="Y249" s="208"/>
      <c r="Z249" s="208"/>
      <c r="AA249" s="208"/>
      <c r="AB249" s="208"/>
      <c r="AC249" s="208"/>
      <c r="AD249" s="208"/>
      <c r="AE249" s="208"/>
      <c r="AF249" s="208"/>
      <c r="AG249" s="208"/>
      <c r="AH249" s="208"/>
      <c r="AI249" s="208"/>
      <c r="AJ249" s="208"/>
      <c r="AK249" s="208"/>
      <c r="AL249" s="208"/>
      <c r="AM249" s="179"/>
    </row>
    <row r="250" spans="1:39" s="93" customFormat="1" outlineLevel="1">
      <c r="A250" s="477" t="str">
        <f t="shared" si="46"/>
        <v>1</v>
      </c>
      <c r="B250" s="91" t="s">
        <v>1442</v>
      </c>
      <c r="L250" s="202">
        <v>3</v>
      </c>
      <c r="M250" s="203" t="s">
        <v>368</v>
      </c>
      <c r="N250" s="137" t="s">
        <v>352</v>
      </c>
      <c r="O250" s="205">
        <f t="shared" ref="O250:AK250" si="48">SUM(O251:O255)</f>
        <v>0</v>
      </c>
      <c r="P250" s="205">
        <f t="shared" si="48"/>
        <v>0</v>
      </c>
      <c r="Q250" s="205">
        <f t="shared" si="48"/>
        <v>0</v>
      </c>
      <c r="R250" s="205">
        <f t="shared" si="48"/>
        <v>0</v>
      </c>
      <c r="S250" s="205">
        <f t="shared" si="48"/>
        <v>0</v>
      </c>
      <c r="T250" s="205">
        <f t="shared" si="48"/>
        <v>0</v>
      </c>
      <c r="U250" s="205">
        <f t="shared" si="48"/>
        <v>0</v>
      </c>
      <c r="V250" s="205">
        <f t="shared" si="48"/>
        <v>0</v>
      </c>
      <c r="W250" s="205">
        <f t="shared" si="48"/>
        <v>0</v>
      </c>
      <c r="X250" s="205">
        <f t="shared" si="48"/>
        <v>0</v>
      </c>
      <c r="Y250" s="205">
        <f t="shared" si="48"/>
        <v>0</v>
      </c>
      <c r="Z250" s="205">
        <f t="shared" si="48"/>
        <v>0</v>
      </c>
      <c r="AA250" s="205">
        <f>SUM(AA251:AA255)</f>
        <v>0</v>
      </c>
      <c r="AB250" s="205">
        <f>SUM(AB251:AB255)</f>
        <v>0</v>
      </c>
      <c r="AC250" s="205">
        <f t="shared" si="48"/>
        <v>0</v>
      </c>
      <c r="AD250" s="205">
        <f t="shared" si="48"/>
        <v>0</v>
      </c>
      <c r="AE250" s="205">
        <f t="shared" si="48"/>
        <v>0</v>
      </c>
      <c r="AF250" s="205">
        <f t="shared" si="48"/>
        <v>0</v>
      </c>
      <c r="AG250" s="205">
        <f t="shared" si="48"/>
        <v>0</v>
      </c>
      <c r="AH250" s="205">
        <f t="shared" si="48"/>
        <v>0</v>
      </c>
      <c r="AI250" s="205">
        <f t="shared" si="48"/>
        <v>0</v>
      </c>
      <c r="AJ250" s="205">
        <f t="shared" si="48"/>
        <v>0</v>
      </c>
      <c r="AK250" s="205">
        <f t="shared" si="48"/>
        <v>0</v>
      </c>
      <c r="AL250" s="205">
        <f>SUM(AL251:AL255)</f>
        <v>0</v>
      </c>
      <c r="AM250" s="179"/>
    </row>
    <row r="251" spans="1:39" s="91" customFormat="1" outlineLevel="1">
      <c r="A251" s="477" t="str">
        <f t="shared" si="46"/>
        <v>1</v>
      </c>
      <c r="B251" s="91" t="s">
        <v>1632</v>
      </c>
      <c r="L251" s="206" t="s">
        <v>154</v>
      </c>
      <c r="M251" s="207" t="s">
        <v>358</v>
      </c>
      <c r="N251" s="137" t="s">
        <v>352</v>
      </c>
      <c r="O251" s="208"/>
      <c r="P251" s="208"/>
      <c r="Q251" s="208"/>
      <c r="R251" s="208"/>
      <c r="S251" s="208"/>
      <c r="T251" s="208"/>
      <c r="U251" s="208"/>
      <c r="V251" s="208"/>
      <c r="W251" s="208"/>
      <c r="X251" s="208"/>
      <c r="Y251" s="208"/>
      <c r="Z251" s="208"/>
      <c r="AA251" s="208"/>
      <c r="AB251" s="208"/>
      <c r="AC251" s="208"/>
      <c r="AD251" s="208"/>
      <c r="AE251" s="208"/>
      <c r="AF251" s="208"/>
      <c r="AG251" s="208"/>
      <c r="AH251" s="208"/>
      <c r="AI251" s="208"/>
      <c r="AJ251" s="208"/>
      <c r="AK251" s="208"/>
      <c r="AL251" s="208"/>
      <c r="AM251" s="179"/>
    </row>
    <row r="252" spans="1:39" s="91" customFormat="1" outlineLevel="1">
      <c r="A252" s="477" t="str">
        <f t="shared" si="46"/>
        <v>1</v>
      </c>
      <c r="B252" s="91" t="s">
        <v>1633</v>
      </c>
      <c r="L252" s="206" t="s">
        <v>155</v>
      </c>
      <c r="M252" s="207" t="s">
        <v>359</v>
      </c>
      <c r="N252" s="137" t="s">
        <v>352</v>
      </c>
      <c r="O252" s="208"/>
      <c r="P252" s="208"/>
      <c r="Q252" s="208"/>
      <c r="R252" s="208"/>
      <c r="S252" s="208"/>
      <c r="T252" s="208"/>
      <c r="U252" s="208"/>
      <c r="V252" s="208"/>
      <c r="W252" s="208"/>
      <c r="X252" s="208"/>
      <c r="Y252" s="208"/>
      <c r="Z252" s="208"/>
      <c r="AA252" s="208"/>
      <c r="AB252" s="208"/>
      <c r="AC252" s="208"/>
      <c r="AD252" s="208"/>
      <c r="AE252" s="208"/>
      <c r="AF252" s="208"/>
      <c r="AG252" s="208"/>
      <c r="AH252" s="208"/>
      <c r="AI252" s="208"/>
      <c r="AJ252" s="208"/>
      <c r="AK252" s="208"/>
      <c r="AL252" s="208"/>
      <c r="AM252" s="179"/>
    </row>
    <row r="253" spans="1:39" s="91" customFormat="1" outlineLevel="1">
      <c r="A253" s="477" t="str">
        <f t="shared" si="46"/>
        <v>1</v>
      </c>
      <c r="B253" s="91" t="s">
        <v>1634</v>
      </c>
      <c r="L253" s="206" t="s">
        <v>369</v>
      </c>
      <c r="M253" s="207" t="s">
        <v>361</v>
      </c>
      <c r="N253" s="137" t="s">
        <v>352</v>
      </c>
      <c r="O253" s="208"/>
      <c r="P253" s="208"/>
      <c r="Q253" s="208"/>
      <c r="R253" s="208"/>
      <c r="S253" s="208"/>
      <c r="T253" s="208"/>
      <c r="U253" s="208"/>
      <c r="V253" s="208"/>
      <c r="W253" s="208"/>
      <c r="X253" s="208"/>
      <c r="Y253" s="208"/>
      <c r="Z253" s="208"/>
      <c r="AA253" s="208"/>
      <c r="AB253" s="208"/>
      <c r="AC253" s="208"/>
      <c r="AD253" s="208"/>
      <c r="AE253" s="208"/>
      <c r="AF253" s="208"/>
      <c r="AG253" s="208"/>
      <c r="AH253" s="208"/>
      <c r="AI253" s="208"/>
      <c r="AJ253" s="208"/>
      <c r="AK253" s="208"/>
      <c r="AL253" s="208"/>
      <c r="AM253" s="179"/>
    </row>
    <row r="254" spans="1:39" s="91" customFormat="1" outlineLevel="1">
      <c r="A254" s="477" t="str">
        <f t="shared" si="46"/>
        <v>1</v>
      </c>
      <c r="B254" s="91" t="s">
        <v>1702</v>
      </c>
      <c r="L254" s="206" t="s">
        <v>370</v>
      </c>
      <c r="M254" s="207" t="s">
        <v>363</v>
      </c>
      <c r="N254" s="137" t="s">
        <v>352</v>
      </c>
      <c r="O254" s="208"/>
      <c r="P254" s="208"/>
      <c r="Q254" s="208"/>
      <c r="R254" s="208"/>
      <c r="S254" s="208"/>
      <c r="T254" s="208"/>
      <c r="U254" s="208"/>
      <c r="V254" s="208"/>
      <c r="W254" s="208"/>
      <c r="X254" s="208"/>
      <c r="Y254" s="208"/>
      <c r="Z254" s="208"/>
      <c r="AA254" s="208"/>
      <c r="AB254" s="208"/>
      <c r="AC254" s="208"/>
      <c r="AD254" s="208"/>
      <c r="AE254" s="208"/>
      <c r="AF254" s="208"/>
      <c r="AG254" s="208"/>
      <c r="AH254" s="208"/>
      <c r="AI254" s="208"/>
      <c r="AJ254" s="208"/>
      <c r="AK254" s="208"/>
      <c r="AL254" s="208"/>
      <c r="AM254" s="179"/>
    </row>
    <row r="255" spans="1:39" s="91" customFormat="1" outlineLevel="1">
      <c r="A255" s="477" t="str">
        <f t="shared" si="46"/>
        <v>1</v>
      </c>
      <c r="B255" s="91" t="s">
        <v>1703</v>
      </c>
      <c r="L255" s="206" t="s">
        <v>371</v>
      </c>
      <c r="M255" s="207" t="s">
        <v>365</v>
      </c>
      <c r="N255" s="137" t="s">
        <v>352</v>
      </c>
      <c r="O255" s="208"/>
      <c r="P255" s="208"/>
      <c r="Q255" s="208"/>
      <c r="R255" s="208"/>
      <c r="S255" s="208"/>
      <c r="T255" s="208"/>
      <c r="U255" s="208"/>
      <c r="V255" s="208"/>
      <c r="W255" s="208"/>
      <c r="X255" s="208"/>
      <c r="Y255" s="208"/>
      <c r="Z255" s="208"/>
      <c r="AA255" s="208"/>
      <c r="AB255" s="208"/>
      <c r="AC255" s="208"/>
      <c r="AD255" s="208"/>
      <c r="AE255" s="208"/>
      <c r="AF255" s="208"/>
      <c r="AG255" s="208"/>
      <c r="AH255" s="208"/>
      <c r="AI255" s="208"/>
      <c r="AJ255" s="208"/>
      <c r="AK255" s="208"/>
      <c r="AL255" s="208"/>
      <c r="AM255" s="179"/>
    </row>
    <row r="256" spans="1:39" s="93" customFormat="1" ht="22.8" outlineLevel="1">
      <c r="A256" s="477" t="str">
        <f t="shared" si="46"/>
        <v>1</v>
      </c>
      <c r="B256" s="91" t="s">
        <v>1444</v>
      </c>
      <c r="L256" s="202">
        <v>4</v>
      </c>
      <c r="M256" s="203" t="s">
        <v>372</v>
      </c>
      <c r="N256" s="137" t="s">
        <v>352</v>
      </c>
      <c r="O256" s="205">
        <f t="shared" ref="O256:AL256" si="49">SUM(O257:O261)</f>
        <v>0</v>
      </c>
      <c r="P256" s="205">
        <f t="shared" si="49"/>
        <v>0</v>
      </c>
      <c r="Q256" s="205">
        <f>SUM(Q257:Q261)</f>
        <v>0</v>
      </c>
      <c r="R256" s="205">
        <f t="shared" si="49"/>
        <v>0</v>
      </c>
      <c r="S256" s="205">
        <f t="shared" si="49"/>
        <v>0</v>
      </c>
      <c r="T256" s="205">
        <f t="shared" si="49"/>
        <v>0</v>
      </c>
      <c r="U256" s="205">
        <f t="shared" si="49"/>
        <v>0</v>
      </c>
      <c r="V256" s="205">
        <f t="shared" si="49"/>
        <v>0</v>
      </c>
      <c r="W256" s="205">
        <f t="shared" si="49"/>
        <v>0</v>
      </c>
      <c r="X256" s="205">
        <f t="shared" si="49"/>
        <v>0</v>
      </c>
      <c r="Y256" s="205">
        <f t="shared" si="49"/>
        <v>0</v>
      </c>
      <c r="Z256" s="205">
        <f t="shared" si="49"/>
        <v>0</v>
      </c>
      <c r="AA256" s="205">
        <f>SUM(AA257:AA261)</f>
        <v>0</v>
      </c>
      <c r="AB256" s="205">
        <f>SUM(AB257:AB261)</f>
        <v>0</v>
      </c>
      <c r="AC256" s="205">
        <f t="shared" si="49"/>
        <v>0</v>
      </c>
      <c r="AD256" s="205">
        <f t="shared" si="49"/>
        <v>0</v>
      </c>
      <c r="AE256" s="205">
        <f t="shared" si="49"/>
        <v>0</v>
      </c>
      <c r="AF256" s="205">
        <f t="shared" si="49"/>
        <v>0</v>
      </c>
      <c r="AG256" s="205">
        <f t="shared" si="49"/>
        <v>0</v>
      </c>
      <c r="AH256" s="205">
        <f t="shared" si="49"/>
        <v>0</v>
      </c>
      <c r="AI256" s="205">
        <f t="shared" si="49"/>
        <v>0</v>
      </c>
      <c r="AJ256" s="205">
        <f t="shared" si="49"/>
        <v>0</v>
      </c>
      <c r="AK256" s="205">
        <f t="shared" si="49"/>
        <v>0</v>
      </c>
      <c r="AL256" s="205">
        <f t="shared" si="49"/>
        <v>0</v>
      </c>
      <c r="AM256" s="179"/>
    </row>
    <row r="257" spans="1:39" s="91" customFormat="1" outlineLevel="1">
      <c r="A257" s="477" t="str">
        <f t="shared" si="46"/>
        <v>1</v>
      </c>
      <c r="B257" s="91" t="s">
        <v>1598</v>
      </c>
      <c r="L257" s="206" t="s">
        <v>140</v>
      </c>
      <c r="M257" s="207" t="s">
        <v>358</v>
      </c>
      <c r="N257" s="137" t="s">
        <v>352</v>
      </c>
      <c r="O257" s="208">
        <f>O239+O245-O251</f>
        <v>0</v>
      </c>
      <c r="P257" s="208">
        <f t="shared" ref="P257:AL261" si="50">P239+P245-P251</f>
        <v>0</v>
      </c>
      <c r="Q257" s="208">
        <f>Q239+Q245-Q251</f>
        <v>0</v>
      </c>
      <c r="R257" s="208">
        <f t="shared" si="50"/>
        <v>0</v>
      </c>
      <c r="S257" s="208">
        <f t="shared" si="50"/>
        <v>0</v>
      </c>
      <c r="T257" s="208">
        <f t="shared" si="50"/>
        <v>0</v>
      </c>
      <c r="U257" s="208">
        <f t="shared" si="50"/>
        <v>0</v>
      </c>
      <c r="V257" s="208">
        <f t="shared" si="50"/>
        <v>0</v>
      </c>
      <c r="W257" s="208">
        <f t="shared" si="50"/>
        <v>0</v>
      </c>
      <c r="X257" s="208">
        <f t="shared" si="50"/>
        <v>0</v>
      </c>
      <c r="Y257" s="208">
        <f t="shared" si="50"/>
        <v>0</v>
      </c>
      <c r="Z257" s="208">
        <f t="shared" si="50"/>
        <v>0</v>
      </c>
      <c r="AA257" s="208">
        <f t="shared" si="50"/>
        <v>0</v>
      </c>
      <c r="AB257" s="208">
        <f t="shared" si="50"/>
        <v>0</v>
      </c>
      <c r="AC257" s="208">
        <f t="shared" si="50"/>
        <v>0</v>
      </c>
      <c r="AD257" s="208">
        <f t="shared" si="50"/>
        <v>0</v>
      </c>
      <c r="AE257" s="208">
        <f t="shared" si="50"/>
        <v>0</v>
      </c>
      <c r="AF257" s="208">
        <f t="shared" si="50"/>
        <v>0</v>
      </c>
      <c r="AG257" s="208">
        <f t="shared" si="50"/>
        <v>0</v>
      </c>
      <c r="AH257" s="208">
        <f t="shared" si="50"/>
        <v>0</v>
      </c>
      <c r="AI257" s="208">
        <f t="shared" si="50"/>
        <v>0</v>
      </c>
      <c r="AJ257" s="208">
        <f t="shared" si="50"/>
        <v>0</v>
      </c>
      <c r="AK257" s="208">
        <f t="shared" si="50"/>
        <v>0</v>
      </c>
      <c r="AL257" s="208">
        <f t="shared" si="50"/>
        <v>0</v>
      </c>
      <c r="AM257" s="179"/>
    </row>
    <row r="258" spans="1:39" s="91" customFormat="1" outlineLevel="1">
      <c r="A258" s="477" t="str">
        <f t="shared" si="46"/>
        <v>1</v>
      </c>
      <c r="B258" s="91" t="s">
        <v>1619</v>
      </c>
      <c r="L258" s="206" t="s">
        <v>373</v>
      </c>
      <c r="M258" s="207" t="s">
        <v>359</v>
      </c>
      <c r="N258" s="137" t="s">
        <v>352</v>
      </c>
      <c r="O258" s="208">
        <f>O240+O246-O252</f>
        <v>0</v>
      </c>
      <c r="P258" s="208">
        <f>P240+P246-P252</f>
        <v>0</v>
      </c>
      <c r="Q258" s="208">
        <f>Q240+Q246-Q252</f>
        <v>0</v>
      </c>
      <c r="R258" s="208">
        <f>R240+R246-R252</f>
        <v>0</v>
      </c>
      <c r="S258" s="208">
        <f t="shared" si="50"/>
        <v>0</v>
      </c>
      <c r="T258" s="208">
        <f t="shared" si="50"/>
        <v>0</v>
      </c>
      <c r="U258" s="208">
        <f t="shared" si="50"/>
        <v>0</v>
      </c>
      <c r="V258" s="208">
        <f t="shared" si="50"/>
        <v>0</v>
      </c>
      <c r="W258" s="208">
        <f t="shared" si="50"/>
        <v>0</v>
      </c>
      <c r="X258" s="208">
        <f t="shared" si="50"/>
        <v>0</v>
      </c>
      <c r="Y258" s="208">
        <f t="shared" si="50"/>
        <v>0</v>
      </c>
      <c r="Z258" s="208">
        <f t="shared" si="50"/>
        <v>0</v>
      </c>
      <c r="AA258" s="208">
        <f t="shared" si="50"/>
        <v>0</v>
      </c>
      <c r="AB258" s="208">
        <f t="shared" si="50"/>
        <v>0</v>
      </c>
      <c r="AC258" s="208">
        <f t="shared" si="50"/>
        <v>0</v>
      </c>
      <c r="AD258" s="208">
        <f t="shared" si="50"/>
        <v>0</v>
      </c>
      <c r="AE258" s="208">
        <f t="shared" si="50"/>
        <v>0</v>
      </c>
      <c r="AF258" s="208">
        <f t="shared" si="50"/>
        <v>0</v>
      </c>
      <c r="AG258" s="208">
        <f t="shared" si="50"/>
        <v>0</v>
      </c>
      <c r="AH258" s="208">
        <f t="shared" si="50"/>
        <v>0</v>
      </c>
      <c r="AI258" s="208">
        <f t="shared" si="50"/>
        <v>0</v>
      </c>
      <c r="AJ258" s="208">
        <f t="shared" si="50"/>
        <v>0</v>
      </c>
      <c r="AK258" s="208">
        <f t="shared" si="50"/>
        <v>0</v>
      </c>
      <c r="AL258" s="208">
        <f t="shared" si="50"/>
        <v>0</v>
      </c>
      <c r="AM258" s="179"/>
    </row>
    <row r="259" spans="1:39" s="91" customFormat="1" outlineLevel="1">
      <c r="A259" s="477" t="str">
        <f t="shared" si="46"/>
        <v>1</v>
      </c>
      <c r="B259" s="91" t="s">
        <v>1635</v>
      </c>
      <c r="L259" s="206" t="s">
        <v>374</v>
      </c>
      <c r="M259" s="207" t="s">
        <v>361</v>
      </c>
      <c r="N259" s="137" t="s">
        <v>352</v>
      </c>
      <c r="O259" s="208">
        <f>O241+O247-O253</f>
        <v>0</v>
      </c>
      <c r="P259" s="208">
        <f>P241+P247-P253</f>
        <v>0</v>
      </c>
      <c r="Q259" s="208">
        <f>Q241+Q247-Q253</f>
        <v>0</v>
      </c>
      <c r="R259" s="208">
        <f>R241+R247-R253</f>
        <v>0</v>
      </c>
      <c r="S259" s="208">
        <f>S241+S247-S253</f>
        <v>0</v>
      </c>
      <c r="T259" s="208">
        <f t="shared" si="50"/>
        <v>0</v>
      </c>
      <c r="U259" s="208">
        <f t="shared" si="50"/>
        <v>0</v>
      </c>
      <c r="V259" s="208">
        <f t="shared" si="50"/>
        <v>0</v>
      </c>
      <c r="W259" s="208">
        <f t="shared" si="50"/>
        <v>0</v>
      </c>
      <c r="X259" s="208">
        <f t="shared" si="50"/>
        <v>0</v>
      </c>
      <c r="Y259" s="208">
        <f t="shared" si="50"/>
        <v>0</v>
      </c>
      <c r="Z259" s="208">
        <f t="shared" si="50"/>
        <v>0</v>
      </c>
      <c r="AA259" s="208">
        <f t="shared" ref="AA259:AD261" si="51">AA241+AA247-AA253</f>
        <v>0</v>
      </c>
      <c r="AB259" s="208">
        <f t="shared" si="51"/>
        <v>0</v>
      </c>
      <c r="AC259" s="208">
        <f t="shared" si="51"/>
        <v>0</v>
      </c>
      <c r="AD259" s="208">
        <f t="shared" si="51"/>
        <v>0</v>
      </c>
      <c r="AE259" s="208">
        <f t="shared" si="50"/>
        <v>0</v>
      </c>
      <c r="AF259" s="208">
        <f t="shared" si="50"/>
        <v>0</v>
      </c>
      <c r="AG259" s="208">
        <f t="shared" si="50"/>
        <v>0</v>
      </c>
      <c r="AH259" s="208">
        <f t="shared" si="50"/>
        <v>0</v>
      </c>
      <c r="AI259" s="208">
        <f t="shared" si="50"/>
        <v>0</v>
      </c>
      <c r="AJ259" s="208">
        <f t="shared" si="50"/>
        <v>0</v>
      </c>
      <c r="AK259" s="208">
        <f t="shared" si="50"/>
        <v>0</v>
      </c>
      <c r="AL259" s="208">
        <f>AL241+AL247-AL253</f>
        <v>0</v>
      </c>
      <c r="AM259" s="179"/>
    </row>
    <row r="260" spans="1:39" s="91" customFormat="1" outlineLevel="1">
      <c r="A260" s="477" t="str">
        <f t="shared" si="46"/>
        <v>1</v>
      </c>
      <c r="B260" s="91" t="s">
        <v>1636</v>
      </c>
      <c r="L260" s="206" t="s">
        <v>375</v>
      </c>
      <c r="M260" s="207" t="s">
        <v>363</v>
      </c>
      <c r="N260" s="137" t="s">
        <v>352</v>
      </c>
      <c r="O260" s="208">
        <f>O242+O248-O254</f>
        <v>0</v>
      </c>
      <c r="P260" s="208">
        <f>P242+P248-P254</f>
        <v>0</v>
      </c>
      <c r="Q260" s="208">
        <f>Q242+Q248-Q254</f>
        <v>0</v>
      </c>
      <c r="R260" s="208">
        <f>R242+R248-R254</f>
        <v>0</v>
      </c>
      <c r="S260" s="208">
        <f>S242+S248-S254</f>
        <v>0</v>
      </c>
      <c r="T260" s="208">
        <f t="shared" si="50"/>
        <v>0</v>
      </c>
      <c r="U260" s="208">
        <f t="shared" si="50"/>
        <v>0</v>
      </c>
      <c r="V260" s="208">
        <f t="shared" si="50"/>
        <v>0</v>
      </c>
      <c r="W260" s="208">
        <f t="shared" si="50"/>
        <v>0</v>
      </c>
      <c r="X260" s="208">
        <f t="shared" si="50"/>
        <v>0</v>
      </c>
      <c r="Y260" s="208">
        <f t="shared" si="50"/>
        <v>0</v>
      </c>
      <c r="Z260" s="208">
        <f t="shared" si="50"/>
        <v>0</v>
      </c>
      <c r="AA260" s="208">
        <f t="shared" si="51"/>
        <v>0</v>
      </c>
      <c r="AB260" s="208">
        <f t="shared" si="51"/>
        <v>0</v>
      </c>
      <c r="AC260" s="208">
        <f t="shared" si="51"/>
        <v>0</v>
      </c>
      <c r="AD260" s="208">
        <f t="shared" si="51"/>
        <v>0</v>
      </c>
      <c r="AE260" s="208">
        <f t="shared" si="50"/>
        <v>0</v>
      </c>
      <c r="AF260" s="208">
        <f t="shared" si="50"/>
        <v>0</v>
      </c>
      <c r="AG260" s="208">
        <f t="shared" si="50"/>
        <v>0</v>
      </c>
      <c r="AH260" s="208">
        <f t="shared" si="50"/>
        <v>0</v>
      </c>
      <c r="AI260" s="208">
        <f t="shared" si="50"/>
        <v>0</v>
      </c>
      <c r="AJ260" s="208">
        <f t="shared" si="50"/>
        <v>0</v>
      </c>
      <c r="AK260" s="208">
        <f t="shared" si="50"/>
        <v>0</v>
      </c>
      <c r="AL260" s="208">
        <f>AL242+AL248-AL254</f>
        <v>0</v>
      </c>
      <c r="AM260" s="179"/>
    </row>
    <row r="261" spans="1:39" s="91" customFormat="1" outlineLevel="1">
      <c r="A261" s="477" t="str">
        <f t="shared" si="46"/>
        <v>1</v>
      </c>
      <c r="B261" s="91" t="s">
        <v>1704</v>
      </c>
      <c r="L261" s="206" t="s">
        <v>376</v>
      </c>
      <c r="M261" s="207" t="s">
        <v>365</v>
      </c>
      <c r="N261" s="137" t="s">
        <v>352</v>
      </c>
      <c r="O261" s="208">
        <f>O243+O249-O255</f>
        <v>0</v>
      </c>
      <c r="P261" s="208">
        <f>P243+P249-P255</f>
        <v>0</v>
      </c>
      <c r="Q261" s="208">
        <f>Q243+Q249-Q255</f>
        <v>0</v>
      </c>
      <c r="R261" s="208">
        <f>R243+R249-R255</f>
        <v>0</v>
      </c>
      <c r="S261" s="208">
        <f>S243+S249-S255</f>
        <v>0</v>
      </c>
      <c r="T261" s="208">
        <f t="shared" si="50"/>
        <v>0</v>
      </c>
      <c r="U261" s="208">
        <f t="shared" si="50"/>
        <v>0</v>
      </c>
      <c r="V261" s="208">
        <f t="shared" si="50"/>
        <v>0</v>
      </c>
      <c r="W261" s="208">
        <f t="shared" si="50"/>
        <v>0</v>
      </c>
      <c r="X261" s="208">
        <f t="shared" si="50"/>
        <v>0</v>
      </c>
      <c r="Y261" s="208">
        <f t="shared" si="50"/>
        <v>0</v>
      </c>
      <c r="Z261" s="208">
        <f t="shared" si="50"/>
        <v>0</v>
      </c>
      <c r="AA261" s="208">
        <f t="shared" si="51"/>
        <v>0</v>
      </c>
      <c r="AB261" s="208">
        <f t="shared" si="51"/>
        <v>0</v>
      </c>
      <c r="AC261" s="208">
        <f t="shared" si="51"/>
        <v>0</v>
      </c>
      <c r="AD261" s="208">
        <f t="shared" si="51"/>
        <v>0</v>
      </c>
      <c r="AE261" s="208">
        <f t="shared" si="50"/>
        <v>0</v>
      </c>
      <c r="AF261" s="208">
        <f t="shared" si="50"/>
        <v>0</v>
      </c>
      <c r="AG261" s="208">
        <f t="shared" si="50"/>
        <v>0</v>
      </c>
      <c r="AH261" s="208">
        <f t="shared" si="50"/>
        <v>0</v>
      </c>
      <c r="AI261" s="208">
        <f t="shared" si="50"/>
        <v>0</v>
      </c>
      <c r="AJ261" s="208">
        <f t="shared" si="50"/>
        <v>0</v>
      </c>
      <c r="AK261" s="208">
        <f t="shared" si="50"/>
        <v>0</v>
      </c>
      <c r="AL261" s="208">
        <f>AL243+AL249-AL255</f>
        <v>0</v>
      </c>
      <c r="AM261" s="179"/>
    </row>
    <row r="262" spans="1:39" s="93" customFormat="1" outlineLevel="1">
      <c r="A262" s="477" t="str">
        <f t="shared" si="46"/>
        <v>1</v>
      </c>
      <c r="B262" s="91" t="s">
        <v>1446</v>
      </c>
      <c r="L262" s="202">
        <v>5</v>
      </c>
      <c r="M262" s="203" t="s">
        <v>377</v>
      </c>
      <c r="N262" s="137" t="s">
        <v>352</v>
      </c>
      <c r="O262" s="205">
        <f>SUM(O263:O267)</f>
        <v>0</v>
      </c>
      <c r="P262" s="205">
        <f t="shared" ref="P262:AL262" si="52">SUM(P263:P267)</f>
        <v>0</v>
      </c>
      <c r="Q262" s="205">
        <f>SUM(Q263:Q267)</f>
        <v>0</v>
      </c>
      <c r="R262" s="205">
        <f t="shared" si="52"/>
        <v>0</v>
      </c>
      <c r="S262" s="205">
        <f t="shared" si="52"/>
        <v>0</v>
      </c>
      <c r="T262" s="205">
        <f t="shared" si="52"/>
        <v>0</v>
      </c>
      <c r="U262" s="205">
        <f t="shared" si="52"/>
        <v>0</v>
      </c>
      <c r="V262" s="205">
        <f t="shared" si="52"/>
        <v>0</v>
      </c>
      <c r="W262" s="205">
        <f t="shared" si="52"/>
        <v>0</v>
      </c>
      <c r="X262" s="205">
        <f t="shared" si="52"/>
        <v>0</v>
      </c>
      <c r="Y262" s="205">
        <f t="shared" si="52"/>
        <v>0</v>
      </c>
      <c r="Z262" s="205">
        <f t="shared" si="52"/>
        <v>0</v>
      </c>
      <c r="AA262" s="205">
        <f>SUM(AA263:AA267)</f>
        <v>0</v>
      </c>
      <c r="AB262" s="205">
        <f>SUM(AB263:AB267)</f>
        <v>0</v>
      </c>
      <c r="AC262" s="205">
        <f t="shared" si="52"/>
        <v>0</v>
      </c>
      <c r="AD262" s="205">
        <f t="shared" si="52"/>
        <v>0</v>
      </c>
      <c r="AE262" s="205">
        <f t="shared" si="52"/>
        <v>0</v>
      </c>
      <c r="AF262" s="205">
        <f t="shared" si="52"/>
        <v>0</v>
      </c>
      <c r="AG262" s="205">
        <f t="shared" si="52"/>
        <v>0</v>
      </c>
      <c r="AH262" s="205">
        <f t="shared" si="52"/>
        <v>0</v>
      </c>
      <c r="AI262" s="205">
        <f t="shared" si="52"/>
        <v>0</v>
      </c>
      <c r="AJ262" s="205">
        <f t="shared" si="52"/>
        <v>0</v>
      </c>
      <c r="AK262" s="205">
        <f t="shared" si="52"/>
        <v>0</v>
      </c>
      <c r="AL262" s="205">
        <f t="shared" si="52"/>
        <v>0</v>
      </c>
      <c r="AM262" s="179"/>
    </row>
    <row r="263" spans="1:39" s="91" customFormat="1" outlineLevel="1">
      <c r="A263" s="477" t="str">
        <f t="shared" si="46"/>
        <v>1</v>
      </c>
      <c r="B263" s="91" t="s">
        <v>1599</v>
      </c>
      <c r="L263" s="206" t="s">
        <v>122</v>
      </c>
      <c r="M263" s="207" t="s">
        <v>358</v>
      </c>
      <c r="N263" s="137" t="s">
        <v>352</v>
      </c>
      <c r="O263" s="208">
        <f>(O257+O239)/2</f>
        <v>0</v>
      </c>
      <c r="P263" s="208">
        <f t="shared" ref="P263:AL267" si="53">(P257+P239)/2</f>
        <v>0</v>
      </c>
      <c r="Q263" s="208">
        <f>(Q257+Q239)/2</f>
        <v>0</v>
      </c>
      <c r="R263" s="208">
        <f t="shared" si="53"/>
        <v>0</v>
      </c>
      <c r="S263" s="208">
        <f t="shared" si="53"/>
        <v>0</v>
      </c>
      <c r="T263" s="208">
        <f t="shared" si="53"/>
        <v>0</v>
      </c>
      <c r="U263" s="208">
        <f t="shared" si="53"/>
        <v>0</v>
      </c>
      <c r="V263" s="208">
        <f t="shared" si="53"/>
        <v>0</v>
      </c>
      <c r="W263" s="208">
        <f t="shared" si="53"/>
        <v>0</v>
      </c>
      <c r="X263" s="208">
        <f t="shared" si="53"/>
        <v>0</v>
      </c>
      <c r="Y263" s="208">
        <f t="shared" si="53"/>
        <v>0</v>
      </c>
      <c r="Z263" s="208">
        <f t="shared" si="53"/>
        <v>0</v>
      </c>
      <c r="AA263" s="208">
        <f t="shared" si="53"/>
        <v>0</v>
      </c>
      <c r="AB263" s="208">
        <f t="shared" si="53"/>
        <v>0</v>
      </c>
      <c r="AC263" s="208">
        <f t="shared" si="53"/>
        <v>0</v>
      </c>
      <c r="AD263" s="208">
        <f t="shared" si="53"/>
        <v>0</v>
      </c>
      <c r="AE263" s="208">
        <f t="shared" si="53"/>
        <v>0</v>
      </c>
      <c r="AF263" s="208">
        <f t="shared" si="53"/>
        <v>0</v>
      </c>
      <c r="AG263" s="208">
        <f t="shared" si="53"/>
        <v>0</v>
      </c>
      <c r="AH263" s="208">
        <f t="shared" si="53"/>
        <v>0</v>
      </c>
      <c r="AI263" s="208">
        <f t="shared" si="53"/>
        <v>0</v>
      </c>
      <c r="AJ263" s="208">
        <f t="shared" si="53"/>
        <v>0</v>
      </c>
      <c r="AK263" s="208">
        <f t="shared" si="53"/>
        <v>0</v>
      </c>
      <c r="AL263" s="208">
        <f t="shared" si="53"/>
        <v>0</v>
      </c>
      <c r="AM263" s="179"/>
    </row>
    <row r="264" spans="1:39" s="91" customFormat="1" outlineLevel="1">
      <c r="A264" s="477" t="str">
        <f t="shared" si="46"/>
        <v>1</v>
      </c>
      <c r="B264" s="91" t="s">
        <v>1600</v>
      </c>
      <c r="L264" s="206" t="s">
        <v>123</v>
      </c>
      <c r="M264" s="207" t="s">
        <v>359</v>
      </c>
      <c r="N264" s="137" t="s">
        <v>352</v>
      </c>
      <c r="O264" s="208">
        <f>(O258+O240)/2</f>
        <v>0</v>
      </c>
      <c r="P264" s="208">
        <f t="shared" si="53"/>
        <v>0</v>
      </c>
      <c r="Q264" s="208">
        <f>(Q258+Q240)/2</f>
        <v>0</v>
      </c>
      <c r="R264" s="208">
        <f t="shared" si="53"/>
        <v>0</v>
      </c>
      <c r="S264" s="208">
        <f t="shared" si="53"/>
        <v>0</v>
      </c>
      <c r="T264" s="208">
        <f t="shared" si="53"/>
        <v>0</v>
      </c>
      <c r="U264" s="208">
        <f t="shared" si="53"/>
        <v>0</v>
      </c>
      <c r="V264" s="208">
        <f t="shared" si="53"/>
        <v>0</v>
      </c>
      <c r="W264" s="208">
        <f t="shared" si="53"/>
        <v>0</v>
      </c>
      <c r="X264" s="208">
        <f t="shared" si="53"/>
        <v>0</v>
      </c>
      <c r="Y264" s="208">
        <f t="shared" si="53"/>
        <v>0</v>
      </c>
      <c r="Z264" s="208">
        <f t="shared" si="53"/>
        <v>0</v>
      </c>
      <c r="AA264" s="208">
        <f t="shared" si="53"/>
        <v>0</v>
      </c>
      <c r="AB264" s="208">
        <f t="shared" si="53"/>
        <v>0</v>
      </c>
      <c r="AC264" s="208">
        <f t="shared" si="53"/>
        <v>0</v>
      </c>
      <c r="AD264" s="208">
        <f t="shared" si="53"/>
        <v>0</v>
      </c>
      <c r="AE264" s="208">
        <f t="shared" si="53"/>
        <v>0</v>
      </c>
      <c r="AF264" s="208">
        <f t="shared" si="53"/>
        <v>0</v>
      </c>
      <c r="AG264" s="208">
        <f t="shared" si="53"/>
        <v>0</v>
      </c>
      <c r="AH264" s="208">
        <f t="shared" si="53"/>
        <v>0</v>
      </c>
      <c r="AI264" s="208">
        <f t="shared" si="53"/>
        <v>0</v>
      </c>
      <c r="AJ264" s="208">
        <f t="shared" si="53"/>
        <v>0</v>
      </c>
      <c r="AK264" s="208">
        <f t="shared" si="53"/>
        <v>0</v>
      </c>
      <c r="AL264" s="208">
        <f t="shared" si="53"/>
        <v>0</v>
      </c>
      <c r="AM264" s="179"/>
    </row>
    <row r="265" spans="1:39" s="91" customFormat="1" outlineLevel="1">
      <c r="A265" s="477" t="str">
        <f t="shared" si="46"/>
        <v>1</v>
      </c>
      <c r="B265" s="91" t="s">
        <v>1601</v>
      </c>
      <c r="L265" s="206" t="s">
        <v>378</v>
      </c>
      <c r="M265" s="207" t="s">
        <v>361</v>
      </c>
      <c r="N265" s="137" t="s">
        <v>352</v>
      </c>
      <c r="O265" s="208">
        <f>(O259+O241)/2</f>
        <v>0</v>
      </c>
      <c r="P265" s="208">
        <f t="shared" si="53"/>
        <v>0</v>
      </c>
      <c r="Q265" s="208">
        <f>(Q259+Q241)/2</f>
        <v>0</v>
      </c>
      <c r="R265" s="208">
        <f t="shared" si="53"/>
        <v>0</v>
      </c>
      <c r="S265" s="208">
        <f t="shared" si="53"/>
        <v>0</v>
      </c>
      <c r="T265" s="208">
        <f t="shared" si="53"/>
        <v>0</v>
      </c>
      <c r="U265" s="208">
        <f t="shared" si="53"/>
        <v>0</v>
      </c>
      <c r="V265" s="208">
        <f t="shared" si="53"/>
        <v>0</v>
      </c>
      <c r="W265" s="208">
        <f t="shared" si="53"/>
        <v>0</v>
      </c>
      <c r="X265" s="208">
        <f t="shared" si="53"/>
        <v>0</v>
      </c>
      <c r="Y265" s="208">
        <f t="shared" si="53"/>
        <v>0</v>
      </c>
      <c r="Z265" s="208">
        <f t="shared" si="53"/>
        <v>0</v>
      </c>
      <c r="AA265" s="208">
        <f t="shared" si="53"/>
        <v>0</v>
      </c>
      <c r="AB265" s="208">
        <f t="shared" si="53"/>
        <v>0</v>
      </c>
      <c r="AC265" s="208">
        <f t="shared" si="53"/>
        <v>0</v>
      </c>
      <c r="AD265" s="208">
        <f t="shared" si="53"/>
        <v>0</v>
      </c>
      <c r="AE265" s="208">
        <f t="shared" si="53"/>
        <v>0</v>
      </c>
      <c r="AF265" s="208">
        <f t="shared" si="53"/>
        <v>0</v>
      </c>
      <c r="AG265" s="208">
        <f t="shared" si="53"/>
        <v>0</v>
      </c>
      <c r="AH265" s="208">
        <f t="shared" si="53"/>
        <v>0</v>
      </c>
      <c r="AI265" s="208">
        <f t="shared" si="53"/>
        <v>0</v>
      </c>
      <c r="AJ265" s="208">
        <f t="shared" si="53"/>
        <v>0</v>
      </c>
      <c r="AK265" s="208">
        <f t="shared" si="53"/>
        <v>0</v>
      </c>
      <c r="AL265" s="208">
        <f t="shared" si="53"/>
        <v>0</v>
      </c>
      <c r="AM265" s="179"/>
    </row>
    <row r="266" spans="1:39" s="91" customFormat="1" outlineLevel="1">
      <c r="A266" s="477" t="str">
        <f t="shared" si="46"/>
        <v>1</v>
      </c>
      <c r="B266" s="91" t="s">
        <v>1602</v>
      </c>
      <c r="L266" s="206" t="s">
        <v>379</v>
      </c>
      <c r="M266" s="207" t="s">
        <v>363</v>
      </c>
      <c r="N266" s="137" t="s">
        <v>352</v>
      </c>
      <c r="O266" s="208">
        <f>(O260+O242)/2</f>
        <v>0</v>
      </c>
      <c r="P266" s="208">
        <f t="shared" si="53"/>
        <v>0</v>
      </c>
      <c r="Q266" s="208">
        <f>(Q260+Q242)/2</f>
        <v>0</v>
      </c>
      <c r="R266" s="208">
        <f t="shared" si="53"/>
        <v>0</v>
      </c>
      <c r="S266" s="208">
        <f t="shared" si="53"/>
        <v>0</v>
      </c>
      <c r="T266" s="208">
        <f t="shared" si="53"/>
        <v>0</v>
      </c>
      <c r="U266" s="208">
        <f t="shared" si="53"/>
        <v>0</v>
      </c>
      <c r="V266" s="208">
        <f t="shared" si="53"/>
        <v>0</v>
      </c>
      <c r="W266" s="208">
        <f t="shared" si="53"/>
        <v>0</v>
      </c>
      <c r="X266" s="208">
        <f t="shared" si="53"/>
        <v>0</v>
      </c>
      <c r="Y266" s="208">
        <f t="shared" si="53"/>
        <v>0</v>
      </c>
      <c r="Z266" s="208">
        <f t="shared" si="53"/>
        <v>0</v>
      </c>
      <c r="AA266" s="208">
        <f t="shared" si="53"/>
        <v>0</v>
      </c>
      <c r="AB266" s="208">
        <f t="shared" si="53"/>
        <v>0</v>
      </c>
      <c r="AC266" s="208">
        <f t="shared" si="53"/>
        <v>0</v>
      </c>
      <c r="AD266" s="208">
        <f t="shared" si="53"/>
        <v>0</v>
      </c>
      <c r="AE266" s="208">
        <f t="shared" si="53"/>
        <v>0</v>
      </c>
      <c r="AF266" s="208">
        <f t="shared" si="53"/>
        <v>0</v>
      </c>
      <c r="AG266" s="208">
        <f t="shared" si="53"/>
        <v>0</v>
      </c>
      <c r="AH266" s="208">
        <f t="shared" si="53"/>
        <v>0</v>
      </c>
      <c r="AI266" s="208">
        <f t="shared" si="53"/>
        <v>0</v>
      </c>
      <c r="AJ266" s="208">
        <f t="shared" si="53"/>
        <v>0</v>
      </c>
      <c r="AK266" s="208">
        <f t="shared" si="53"/>
        <v>0</v>
      </c>
      <c r="AL266" s="208">
        <f t="shared" si="53"/>
        <v>0</v>
      </c>
      <c r="AM266" s="179"/>
    </row>
    <row r="267" spans="1:39" s="91" customFormat="1" outlineLevel="1">
      <c r="A267" s="477" t="str">
        <f t="shared" si="46"/>
        <v>1</v>
      </c>
      <c r="B267" s="91" t="s">
        <v>1705</v>
      </c>
      <c r="L267" s="206" t="s">
        <v>380</v>
      </c>
      <c r="M267" s="207" t="s">
        <v>365</v>
      </c>
      <c r="N267" s="137" t="s">
        <v>352</v>
      </c>
      <c r="O267" s="208">
        <f>(O261+O243)/2</f>
        <v>0</v>
      </c>
      <c r="P267" s="208">
        <f t="shared" si="53"/>
        <v>0</v>
      </c>
      <c r="Q267" s="208">
        <f>(Q261+Q243)/2</f>
        <v>0</v>
      </c>
      <c r="R267" s="208">
        <f t="shared" si="53"/>
        <v>0</v>
      </c>
      <c r="S267" s="208">
        <f t="shared" si="53"/>
        <v>0</v>
      </c>
      <c r="T267" s="208">
        <f t="shared" si="53"/>
        <v>0</v>
      </c>
      <c r="U267" s="208">
        <f t="shared" si="53"/>
        <v>0</v>
      </c>
      <c r="V267" s="208">
        <f t="shared" si="53"/>
        <v>0</v>
      </c>
      <c r="W267" s="208">
        <f t="shared" si="53"/>
        <v>0</v>
      </c>
      <c r="X267" s="208">
        <f t="shared" si="53"/>
        <v>0</v>
      </c>
      <c r="Y267" s="208">
        <f t="shared" si="53"/>
        <v>0</v>
      </c>
      <c r="Z267" s="208">
        <f t="shared" si="53"/>
        <v>0</v>
      </c>
      <c r="AA267" s="208">
        <f t="shared" si="53"/>
        <v>0</v>
      </c>
      <c r="AB267" s="208">
        <f t="shared" si="53"/>
        <v>0</v>
      </c>
      <c r="AC267" s="208">
        <f t="shared" si="53"/>
        <v>0</v>
      </c>
      <c r="AD267" s="208">
        <f t="shared" si="53"/>
        <v>0</v>
      </c>
      <c r="AE267" s="208">
        <f t="shared" si="53"/>
        <v>0</v>
      </c>
      <c r="AF267" s="208">
        <f t="shared" si="53"/>
        <v>0</v>
      </c>
      <c r="AG267" s="208">
        <f t="shared" si="53"/>
        <v>0</v>
      </c>
      <c r="AH267" s="208">
        <f t="shared" si="53"/>
        <v>0</v>
      </c>
      <c r="AI267" s="208">
        <f t="shared" si="53"/>
        <v>0</v>
      </c>
      <c r="AJ267" s="208">
        <f t="shared" si="53"/>
        <v>0</v>
      </c>
      <c r="AK267" s="208">
        <f t="shared" si="53"/>
        <v>0</v>
      </c>
      <c r="AL267" s="208">
        <f t="shared" si="53"/>
        <v>0</v>
      </c>
      <c r="AM267" s="179"/>
    </row>
    <row r="268" spans="1:39" s="93" customFormat="1" outlineLevel="1">
      <c r="A268" s="477" t="str">
        <f t="shared" si="46"/>
        <v>1</v>
      </c>
      <c r="B268" s="91" t="s">
        <v>1448</v>
      </c>
      <c r="L268" s="202">
        <v>6</v>
      </c>
      <c r="M268" s="203" t="s">
        <v>381</v>
      </c>
      <c r="N268" s="209"/>
      <c r="O268" s="210"/>
      <c r="P268" s="210"/>
      <c r="Q268" s="210"/>
      <c r="R268" s="210"/>
      <c r="S268" s="210"/>
      <c r="T268" s="210"/>
      <c r="U268" s="210"/>
      <c r="V268" s="210"/>
      <c r="W268" s="210"/>
      <c r="X268" s="210"/>
      <c r="Y268" s="210"/>
      <c r="Z268" s="210"/>
      <c r="AA268" s="210"/>
      <c r="AB268" s="210"/>
      <c r="AC268" s="210"/>
      <c r="AD268" s="210"/>
      <c r="AE268" s="210"/>
      <c r="AF268" s="210"/>
      <c r="AG268" s="210"/>
      <c r="AH268" s="210"/>
      <c r="AI268" s="210"/>
      <c r="AJ268" s="210"/>
      <c r="AK268" s="210"/>
      <c r="AL268" s="210"/>
      <c r="AM268" s="179"/>
    </row>
    <row r="269" spans="1:39" s="91" customFormat="1" outlineLevel="1">
      <c r="A269" s="477" t="str">
        <f t="shared" si="46"/>
        <v>1</v>
      </c>
      <c r="B269" s="91" t="s">
        <v>1645</v>
      </c>
      <c r="L269" s="206" t="s">
        <v>179</v>
      </c>
      <c r="M269" s="207" t="s">
        <v>358</v>
      </c>
      <c r="N269" s="204" t="s">
        <v>137</v>
      </c>
      <c r="O269" s="208">
        <f t="shared" ref="O269:AL273" si="54">IF(O263=0,0,O275/O263*100)</f>
        <v>0</v>
      </c>
      <c r="P269" s="208">
        <f t="shared" si="54"/>
        <v>0</v>
      </c>
      <c r="Q269" s="208">
        <f t="shared" si="54"/>
        <v>0</v>
      </c>
      <c r="R269" s="208">
        <f t="shared" si="54"/>
        <v>0</v>
      </c>
      <c r="S269" s="208">
        <f t="shared" si="54"/>
        <v>0</v>
      </c>
      <c r="T269" s="208">
        <f t="shared" si="54"/>
        <v>0</v>
      </c>
      <c r="U269" s="208">
        <f t="shared" si="54"/>
        <v>0</v>
      </c>
      <c r="V269" s="208">
        <f t="shared" si="54"/>
        <v>0</v>
      </c>
      <c r="W269" s="208">
        <f t="shared" si="54"/>
        <v>0</v>
      </c>
      <c r="X269" s="208">
        <f t="shared" si="54"/>
        <v>0</v>
      </c>
      <c r="Y269" s="208">
        <f t="shared" si="54"/>
        <v>0</v>
      </c>
      <c r="Z269" s="208">
        <f t="shared" si="54"/>
        <v>0</v>
      </c>
      <c r="AA269" s="208">
        <f t="shared" si="54"/>
        <v>0</v>
      </c>
      <c r="AB269" s="208">
        <f t="shared" si="54"/>
        <v>0</v>
      </c>
      <c r="AC269" s="208">
        <f t="shared" si="54"/>
        <v>0</v>
      </c>
      <c r="AD269" s="208">
        <f t="shared" si="54"/>
        <v>0</v>
      </c>
      <c r="AE269" s="208">
        <f t="shared" si="54"/>
        <v>0</v>
      </c>
      <c r="AF269" s="208">
        <f t="shared" si="54"/>
        <v>0</v>
      </c>
      <c r="AG269" s="208">
        <f t="shared" si="54"/>
        <v>0</v>
      </c>
      <c r="AH269" s="208">
        <f t="shared" si="54"/>
        <v>0</v>
      </c>
      <c r="AI269" s="208">
        <f t="shared" si="54"/>
        <v>0</v>
      </c>
      <c r="AJ269" s="208">
        <f t="shared" si="54"/>
        <v>0</v>
      </c>
      <c r="AK269" s="208">
        <f t="shared" si="54"/>
        <v>0</v>
      </c>
      <c r="AL269" s="208">
        <f t="shared" si="54"/>
        <v>0</v>
      </c>
      <c r="AM269" s="179"/>
    </row>
    <row r="270" spans="1:39" s="91" customFormat="1" outlineLevel="1">
      <c r="A270" s="477" t="str">
        <f t="shared" si="46"/>
        <v>1</v>
      </c>
      <c r="B270" s="91" t="s">
        <v>1646</v>
      </c>
      <c r="L270" s="206" t="s">
        <v>180</v>
      </c>
      <c r="M270" s="207" t="s">
        <v>359</v>
      </c>
      <c r="N270" s="204" t="s">
        <v>137</v>
      </c>
      <c r="O270" s="208">
        <f>IF(O264=0,0,O276/O264*100)</f>
        <v>0</v>
      </c>
      <c r="P270" s="208">
        <f t="shared" si="54"/>
        <v>0</v>
      </c>
      <c r="Q270" s="208">
        <f t="shared" si="54"/>
        <v>0</v>
      </c>
      <c r="R270" s="208">
        <f t="shared" si="54"/>
        <v>0</v>
      </c>
      <c r="S270" s="208">
        <f t="shared" si="54"/>
        <v>0</v>
      </c>
      <c r="T270" s="208">
        <f t="shared" si="54"/>
        <v>0</v>
      </c>
      <c r="U270" s="208">
        <f t="shared" si="54"/>
        <v>0</v>
      </c>
      <c r="V270" s="208">
        <f t="shared" si="54"/>
        <v>0</v>
      </c>
      <c r="W270" s="208">
        <f t="shared" si="54"/>
        <v>0</v>
      </c>
      <c r="X270" s="208">
        <f t="shared" si="54"/>
        <v>0</v>
      </c>
      <c r="Y270" s="208">
        <f t="shared" si="54"/>
        <v>0</v>
      </c>
      <c r="Z270" s="208">
        <f t="shared" si="54"/>
        <v>0</v>
      </c>
      <c r="AA270" s="208">
        <f t="shared" si="54"/>
        <v>0</v>
      </c>
      <c r="AB270" s="208">
        <f t="shared" si="54"/>
        <v>0</v>
      </c>
      <c r="AC270" s="208">
        <f t="shared" si="54"/>
        <v>0</v>
      </c>
      <c r="AD270" s="208">
        <f t="shared" si="54"/>
        <v>0</v>
      </c>
      <c r="AE270" s="208">
        <f t="shared" si="54"/>
        <v>0</v>
      </c>
      <c r="AF270" s="208">
        <f t="shared" si="54"/>
        <v>0</v>
      </c>
      <c r="AG270" s="208">
        <f t="shared" si="54"/>
        <v>0</v>
      </c>
      <c r="AH270" s="208">
        <f t="shared" si="54"/>
        <v>0</v>
      </c>
      <c r="AI270" s="208">
        <f t="shared" si="54"/>
        <v>0</v>
      </c>
      <c r="AJ270" s="208">
        <f t="shared" si="54"/>
        <v>0</v>
      </c>
      <c r="AK270" s="208">
        <f t="shared" si="54"/>
        <v>0</v>
      </c>
      <c r="AL270" s="208">
        <f t="shared" si="54"/>
        <v>0</v>
      </c>
      <c r="AM270" s="179"/>
    </row>
    <row r="271" spans="1:39" s="91" customFormat="1" outlineLevel="1">
      <c r="A271" s="477" t="str">
        <f t="shared" si="46"/>
        <v>1</v>
      </c>
      <c r="B271" s="91" t="s">
        <v>1647</v>
      </c>
      <c r="L271" s="206" t="s">
        <v>382</v>
      </c>
      <c r="M271" s="207" t="s">
        <v>361</v>
      </c>
      <c r="N271" s="204" t="s">
        <v>137</v>
      </c>
      <c r="O271" s="208">
        <f>IF(O265=0,0,O277/O265*100)</f>
        <v>0</v>
      </c>
      <c r="P271" s="208">
        <f t="shared" si="54"/>
        <v>0</v>
      </c>
      <c r="Q271" s="208">
        <f t="shared" si="54"/>
        <v>0</v>
      </c>
      <c r="R271" s="208">
        <f t="shared" si="54"/>
        <v>0</v>
      </c>
      <c r="S271" s="208">
        <f t="shared" si="54"/>
        <v>0</v>
      </c>
      <c r="T271" s="208">
        <f t="shared" si="54"/>
        <v>0</v>
      </c>
      <c r="U271" s="208">
        <f t="shared" si="54"/>
        <v>0</v>
      </c>
      <c r="V271" s="208">
        <f t="shared" si="54"/>
        <v>0</v>
      </c>
      <c r="W271" s="208">
        <f t="shared" si="54"/>
        <v>0</v>
      </c>
      <c r="X271" s="208">
        <f t="shared" si="54"/>
        <v>0</v>
      </c>
      <c r="Y271" s="208">
        <f t="shared" si="54"/>
        <v>0</v>
      </c>
      <c r="Z271" s="208">
        <f t="shared" si="54"/>
        <v>0</v>
      </c>
      <c r="AA271" s="208">
        <f t="shared" si="54"/>
        <v>0</v>
      </c>
      <c r="AB271" s="208">
        <f t="shared" si="54"/>
        <v>0</v>
      </c>
      <c r="AC271" s="208">
        <f t="shared" si="54"/>
        <v>0</v>
      </c>
      <c r="AD271" s="208">
        <f t="shared" si="54"/>
        <v>0</v>
      </c>
      <c r="AE271" s="208">
        <f t="shared" si="54"/>
        <v>0</v>
      </c>
      <c r="AF271" s="208">
        <f t="shared" si="54"/>
        <v>0</v>
      </c>
      <c r="AG271" s="208">
        <f t="shared" si="54"/>
        <v>0</v>
      </c>
      <c r="AH271" s="208">
        <f t="shared" si="54"/>
        <v>0</v>
      </c>
      <c r="AI271" s="208">
        <f t="shared" si="54"/>
        <v>0</v>
      </c>
      <c r="AJ271" s="208">
        <f t="shared" si="54"/>
        <v>0</v>
      </c>
      <c r="AK271" s="208">
        <f t="shared" si="54"/>
        <v>0</v>
      </c>
      <c r="AL271" s="208">
        <f t="shared" si="54"/>
        <v>0</v>
      </c>
      <c r="AM271" s="179"/>
    </row>
    <row r="272" spans="1:39" s="91" customFormat="1" outlineLevel="1">
      <c r="A272" s="477" t="str">
        <f t="shared" si="46"/>
        <v>1</v>
      </c>
      <c r="B272" s="91" t="s">
        <v>1648</v>
      </c>
      <c r="L272" s="206" t="s">
        <v>383</v>
      </c>
      <c r="M272" s="207" t="s">
        <v>363</v>
      </c>
      <c r="N272" s="204" t="s">
        <v>137</v>
      </c>
      <c r="O272" s="208">
        <f>IF(O266=0,0,O278/O266*100)</f>
        <v>0</v>
      </c>
      <c r="P272" s="208">
        <f t="shared" si="54"/>
        <v>0</v>
      </c>
      <c r="Q272" s="208">
        <f t="shared" si="54"/>
        <v>0</v>
      </c>
      <c r="R272" s="208">
        <f t="shared" si="54"/>
        <v>0</v>
      </c>
      <c r="S272" s="208">
        <f t="shared" si="54"/>
        <v>0</v>
      </c>
      <c r="T272" s="208">
        <f t="shared" si="54"/>
        <v>0</v>
      </c>
      <c r="U272" s="208">
        <f t="shared" si="54"/>
        <v>0</v>
      </c>
      <c r="V272" s="208">
        <f t="shared" si="54"/>
        <v>0</v>
      </c>
      <c r="W272" s="208">
        <f t="shared" si="54"/>
        <v>0</v>
      </c>
      <c r="X272" s="208">
        <f t="shared" si="54"/>
        <v>0</v>
      </c>
      <c r="Y272" s="208">
        <f t="shared" si="54"/>
        <v>0</v>
      </c>
      <c r="Z272" s="208">
        <f t="shared" si="54"/>
        <v>0</v>
      </c>
      <c r="AA272" s="208">
        <f t="shared" si="54"/>
        <v>0</v>
      </c>
      <c r="AB272" s="208">
        <f t="shared" si="54"/>
        <v>0</v>
      </c>
      <c r="AC272" s="208">
        <f t="shared" si="54"/>
        <v>0</v>
      </c>
      <c r="AD272" s="208">
        <f t="shared" si="54"/>
        <v>0</v>
      </c>
      <c r="AE272" s="208">
        <f t="shared" si="54"/>
        <v>0</v>
      </c>
      <c r="AF272" s="208">
        <f t="shared" si="54"/>
        <v>0</v>
      </c>
      <c r="AG272" s="208">
        <f t="shared" si="54"/>
        <v>0</v>
      </c>
      <c r="AH272" s="208">
        <f t="shared" si="54"/>
        <v>0</v>
      </c>
      <c r="AI272" s="208">
        <f t="shared" si="54"/>
        <v>0</v>
      </c>
      <c r="AJ272" s="208">
        <f t="shared" si="54"/>
        <v>0</v>
      </c>
      <c r="AK272" s="208">
        <f t="shared" si="54"/>
        <v>0</v>
      </c>
      <c r="AL272" s="208">
        <f t="shared" si="54"/>
        <v>0</v>
      </c>
      <c r="AM272" s="179"/>
    </row>
    <row r="273" spans="1:39" s="91" customFormat="1" outlineLevel="1">
      <c r="A273" s="477" t="str">
        <f t="shared" si="46"/>
        <v>1</v>
      </c>
      <c r="B273" s="91" t="s">
        <v>1695</v>
      </c>
      <c r="L273" s="206" t="s">
        <v>384</v>
      </c>
      <c r="M273" s="207" t="s">
        <v>365</v>
      </c>
      <c r="N273" s="204" t="s">
        <v>137</v>
      </c>
      <c r="O273" s="208">
        <f>IF(O267=0,0,O279/O267*100)</f>
        <v>0</v>
      </c>
      <c r="P273" s="208">
        <f t="shared" si="54"/>
        <v>0</v>
      </c>
      <c r="Q273" s="208">
        <f t="shared" si="54"/>
        <v>0</v>
      </c>
      <c r="R273" s="208">
        <f t="shared" si="54"/>
        <v>0</v>
      </c>
      <c r="S273" s="208">
        <f t="shared" si="54"/>
        <v>0</v>
      </c>
      <c r="T273" s="208">
        <f t="shared" si="54"/>
        <v>0</v>
      </c>
      <c r="U273" s="208">
        <f t="shared" si="54"/>
        <v>0</v>
      </c>
      <c r="V273" s="208">
        <f t="shared" si="54"/>
        <v>0</v>
      </c>
      <c r="W273" s="208">
        <f t="shared" si="54"/>
        <v>0</v>
      </c>
      <c r="X273" s="208">
        <f t="shared" si="54"/>
        <v>0</v>
      </c>
      <c r="Y273" s="208">
        <f t="shared" si="54"/>
        <v>0</v>
      </c>
      <c r="Z273" s="208">
        <f t="shared" si="54"/>
        <v>0</v>
      </c>
      <c r="AA273" s="208">
        <f t="shared" si="54"/>
        <v>0</v>
      </c>
      <c r="AB273" s="208">
        <f t="shared" si="54"/>
        <v>0</v>
      </c>
      <c r="AC273" s="208">
        <f t="shared" si="54"/>
        <v>0</v>
      </c>
      <c r="AD273" s="208">
        <f t="shared" si="54"/>
        <v>0</v>
      </c>
      <c r="AE273" s="208">
        <f t="shared" si="54"/>
        <v>0</v>
      </c>
      <c r="AF273" s="208">
        <f t="shared" si="54"/>
        <v>0</v>
      </c>
      <c r="AG273" s="208">
        <f t="shared" si="54"/>
        <v>0</v>
      </c>
      <c r="AH273" s="208">
        <f t="shared" si="54"/>
        <v>0</v>
      </c>
      <c r="AI273" s="208">
        <f t="shared" si="54"/>
        <v>0</v>
      </c>
      <c r="AJ273" s="208">
        <f t="shared" si="54"/>
        <v>0</v>
      </c>
      <c r="AK273" s="208">
        <f t="shared" si="54"/>
        <v>0</v>
      </c>
      <c r="AL273" s="208">
        <f t="shared" si="54"/>
        <v>0</v>
      </c>
      <c r="AM273" s="179"/>
    </row>
    <row r="274" spans="1:39" s="93" customFormat="1" outlineLevel="1">
      <c r="A274" s="477" t="str">
        <f t="shared" si="46"/>
        <v>1</v>
      </c>
      <c r="B274" s="91" t="s">
        <v>1450</v>
      </c>
      <c r="L274" s="202">
        <v>7</v>
      </c>
      <c r="M274" s="203" t="s">
        <v>385</v>
      </c>
      <c r="N274" s="137" t="s">
        <v>352</v>
      </c>
      <c r="O274" s="205">
        <f t="shared" ref="O274:AL274" si="55">SUM(O275:O279)</f>
        <v>0</v>
      </c>
      <c r="P274" s="205">
        <f t="shared" si="55"/>
        <v>0</v>
      </c>
      <c r="Q274" s="205">
        <f>SUM(Q275:Q279)</f>
        <v>0</v>
      </c>
      <c r="R274" s="205">
        <f t="shared" si="55"/>
        <v>0</v>
      </c>
      <c r="S274" s="205">
        <f t="shared" si="55"/>
        <v>0</v>
      </c>
      <c r="T274" s="205">
        <f t="shared" si="55"/>
        <v>0</v>
      </c>
      <c r="U274" s="205">
        <f t="shared" si="55"/>
        <v>0</v>
      </c>
      <c r="V274" s="205">
        <f t="shared" si="55"/>
        <v>0</v>
      </c>
      <c r="W274" s="205">
        <f t="shared" si="55"/>
        <v>0</v>
      </c>
      <c r="X274" s="205">
        <f t="shared" si="55"/>
        <v>0</v>
      </c>
      <c r="Y274" s="205">
        <f t="shared" si="55"/>
        <v>0</v>
      </c>
      <c r="Z274" s="205">
        <f t="shared" si="55"/>
        <v>0</v>
      </c>
      <c r="AA274" s="205">
        <f>SUM(AA275:AA279)</f>
        <v>0</v>
      </c>
      <c r="AB274" s="205">
        <f>SUM(AB275:AB279)</f>
        <v>0</v>
      </c>
      <c r="AC274" s="205">
        <f t="shared" si="55"/>
        <v>0</v>
      </c>
      <c r="AD274" s="205">
        <f t="shared" si="55"/>
        <v>0</v>
      </c>
      <c r="AE274" s="205">
        <f t="shared" si="55"/>
        <v>0</v>
      </c>
      <c r="AF274" s="205">
        <f t="shared" si="55"/>
        <v>0</v>
      </c>
      <c r="AG274" s="205">
        <f t="shared" si="55"/>
        <v>0</v>
      </c>
      <c r="AH274" s="205">
        <f t="shared" si="55"/>
        <v>0</v>
      </c>
      <c r="AI274" s="205">
        <f t="shared" si="55"/>
        <v>0</v>
      </c>
      <c r="AJ274" s="205">
        <f t="shared" si="55"/>
        <v>0</v>
      </c>
      <c r="AK274" s="205">
        <f t="shared" si="55"/>
        <v>0</v>
      </c>
      <c r="AL274" s="205">
        <f t="shared" si="55"/>
        <v>0</v>
      </c>
      <c r="AM274" s="179"/>
    </row>
    <row r="275" spans="1:39" s="91" customFormat="1" outlineLevel="1">
      <c r="A275" s="477" t="str">
        <f t="shared" si="46"/>
        <v>1</v>
      </c>
      <c r="B275" s="91" t="s">
        <v>1686</v>
      </c>
      <c r="L275" s="206" t="s">
        <v>181</v>
      </c>
      <c r="M275" s="207" t="s">
        <v>358</v>
      </c>
      <c r="N275" s="137" t="s">
        <v>352</v>
      </c>
      <c r="O275" s="208"/>
      <c r="P275" s="208"/>
      <c r="Q275" s="208"/>
      <c r="R275" s="208"/>
      <c r="S275" s="208"/>
      <c r="T275" s="208"/>
      <c r="U275" s="208"/>
      <c r="V275" s="208"/>
      <c r="W275" s="208"/>
      <c r="X275" s="208"/>
      <c r="Y275" s="208"/>
      <c r="Z275" s="208"/>
      <c r="AA275" s="208"/>
      <c r="AB275" s="208"/>
      <c r="AC275" s="208"/>
      <c r="AD275" s="208"/>
      <c r="AE275" s="208"/>
      <c r="AF275" s="208"/>
      <c r="AG275" s="208"/>
      <c r="AH275" s="208"/>
      <c r="AI275" s="208"/>
      <c r="AJ275" s="208"/>
      <c r="AK275" s="208"/>
      <c r="AL275" s="208"/>
      <c r="AM275" s="179"/>
    </row>
    <row r="276" spans="1:39" s="91" customFormat="1" outlineLevel="1">
      <c r="A276" s="477" t="str">
        <f t="shared" si="46"/>
        <v>1</v>
      </c>
      <c r="B276" s="91" t="s">
        <v>1649</v>
      </c>
      <c r="L276" s="206" t="s">
        <v>182</v>
      </c>
      <c r="M276" s="207" t="s">
        <v>359</v>
      </c>
      <c r="N276" s="137" t="s">
        <v>352</v>
      </c>
      <c r="O276" s="208"/>
      <c r="P276" s="208"/>
      <c r="Q276" s="208"/>
      <c r="R276" s="208"/>
      <c r="S276" s="208"/>
      <c r="T276" s="208"/>
      <c r="U276" s="208"/>
      <c r="V276" s="208"/>
      <c r="W276" s="208"/>
      <c r="X276" s="208"/>
      <c r="Y276" s="208"/>
      <c r="Z276" s="208"/>
      <c r="AA276" s="208"/>
      <c r="AB276" s="208"/>
      <c r="AC276" s="208"/>
      <c r="AD276" s="208"/>
      <c r="AE276" s="208"/>
      <c r="AF276" s="208"/>
      <c r="AG276" s="208"/>
      <c r="AH276" s="208"/>
      <c r="AI276" s="208"/>
      <c r="AJ276" s="208"/>
      <c r="AK276" s="208"/>
      <c r="AL276" s="208"/>
      <c r="AM276" s="179"/>
    </row>
    <row r="277" spans="1:39" s="91" customFormat="1" outlineLevel="1">
      <c r="A277" s="477" t="str">
        <f t="shared" si="46"/>
        <v>1</v>
      </c>
      <c r="B277" s="91" t="s">
        <v>1650</v>
      </c>
      <c r="L277" s="206" t="s">
        <v>386</v>
      </c>
      <c r="M277" s="207" t="s">
        <v>361</v>
      </c>
      <c r="N277" s="137" t="s">
        <v>352</v>
      </c>
      <c r="O277" s="208"/>
      <c r="P277" s="208"/>
      <c r="Q277" s="208"/>
      <c r="R277" s="208"/>
      <c r="S277" s="208"/>
      <c r="T277" s="208"/>
      <c r="U277" s="208"/>
      <c r="V277" s="208"/>
      <c r="W277" s="208"/>
      <c r="X277" s="208"/>
      <c r="Y277" s="208"/>
      <c r="Z277" s="208"/>
      <c r="AA277" s="208"/>
      <c r="AB277" s="208"/>
      <c r="AC277" s="208"/>
      <c r="AD277" s="208"/>
      <c r="AE277" s="208"/>
      <c r="AF277" s="208"/>
      <c r="AG277" s="208"/>
      <c r="AH277" s="208"/>
      <c r="AI277" s="208"/>
      <c r="AJ277" s="208"/>
      <c r="AK277" s="208"/>
      <c r="AL277" s="208"/>
      <c r="AM277" s="179"/>
    </row>
    <row r="278" spans="1:39" s="91" customFormat="1" outlineLevel="1">
      <c r="A278" s="477" t="str">
        <f t="shared" si="46"/>
        <v>1</v>
      </c>
      <c r="B278" s="91" t="s">
        <v>1651</v>
      </c>
      <c r="L278" s="206" t="s">
        <v>387</v>
      </c>
      <c r="M278" s="207" t="s">
        <v>363</v>
      </c>
      <c r="N278" s="137" t="s">
        <v>352</v>
      </c>
      <c r="O278" s="208"/>
      <c r="P278" s="208"/>
      <c r="Q278" s="208"/>
      <c r="R278" s="208"/>
      <c r="S278" s="208"/>
      <c r="T278" s="208"/>
      <c r="U278" s="208"/>
      <c r="V278" s="208"/>
      <c r="W278" s="208"/>
      <c r="X278" s="208"/>
      <c r="Y278" s="208"/>
      <c r="Z278" s="208"/>
      <c r="AA278" s="208"/>
      <c r="AB278" s="208"/>
      <c r="AC278" s="208"/>
      <c r="AD278" s="208"/>
      <c r="AE278" s="208"/>
      <c r="AF278" s="208"/>
      <c r="AG278" s="208"/>
      <c r="AH278" s="208"/>
      <c r="AI278" s="208"/>
      <c r="AJ278" s="208"/>
      <c r="AK278" s="208"/>
      <c r="AL278" s="208"/>
      <c r="AM278" s="179"/>
    </row>
    <row r="279" spans="1:39" s="91" customFormat="1" outlineLevel="1">
      <c r="A279" s="477" t="str">
        <f t="shared" si="46"/>
        <v>1</v>
      </c>
      <c r="B279" s="91" t="s">
        <v>1652</v>
      </c>
      <c r="L279" s="206" t="s">
        <v>388</v>
      </c>
      <c r="M279" s="207" t="s">
        <v>365</v>
      </c>
      <c r="N279" s="137" t="s">
        <v>352</v>
      </c>
      <c r="O279" s="208"/>
      <c r="P279" s="208"/>
      <c r="Q279" s="208"/>
      <c r="R279" s="208"/>
      <c r="S279" s="208"/>
      <c r="T279" s="208"/>
      <c r="U279" s="208"/>
      <c r="V279" s="208"/>
      <c r="W279" s="208"/>
      <c r="X279" s="208"/>
      <c r="Y279" s="208"/>
      <c r="Z279" s="208"/>
      <c r="AA279" s="208"/>
      <c r="AB279" s="208"/>
      <c r="AC279" s="208"/>
      <c r="AD279" s="208"/>
      <c r="AE279" s="208"/>
      <c r="AF279" s="208"/>
      <c r="AG279" s="208"/>
      <c r="AH279" s="208"/>
      <c r="AI279" s="208"/>
      <c r="AJ279" s="208"/>
      <c r="AK279" s="208"/>
      <c r="AL279" s="208"/>
      <c r="AM279" s="179"/>
    </row>
    <row r="280" spans="1:39" s="93" customFormat="1" outlineLevel="1">
      <c r="A280" s="477" t="str">
        <f t="shared" si="46"/>
        <v>1</v>
      </c>
      <c r="B280" s="91" t="s">
        <v>1452</v>
      </c>
      <c r="L280" s="202">
        <v>8</v>
      </c>
      <c r="M280" s="203" t="s">
        <v>389</v>
      </c>
      <c r="N280" s="137" t="s">
        <v>352</v>
      </c>
      <c r="O280" s="205">
        <f t="shared" ref="O280:AL280" si="56">SUM(O281:O285)</f>
        <v>0</v>
      </c>
      <c r="P280" s="205">
        <f t="shared" si="56"/>
        <v>0</v>
      </c>
      <c r="Q280" s="205">
        <f>SUM(Q281:Q285)</f>
        <v>0</v>
      </c>
      <c r="R280" s="205">
        <f t="shared" si="56"/>
        <v>0</v>
      </c>
      <c r="S280" s="205">
        <f t="shared" si="56"/>
        <v>0</v>
      </c>
      <c r="T280" s="205">
        <f t="shared" si="56"/>
        <v>0</v>
      </c>
      <c r="U280" s="205">
        <f t="shared" si="56"/>
        <v>0</v>
      </c>
      <c r="V280" s="205">
        <f t="shared" si="56"/>
        <v>0</v>
      </c>
      <c r="W280" s="205">
        <f t="shared" si="56"/>
        <v>0</v>
      </c>
      <c r="X280" s="205">
        <f t="shared" si="56"/>
        <v>0</v>
      </c>
      <c r="Y280" s="205">
        <f t="shared" si="56"/>
        <v>0</v>
      </c>
      <c r="Z280" s="205">
        <f t="shared" si="56"/>
        <v>0</v>
      </c>
      <c r="AA280" s="205">
        <f>SUM(AA281:AA285)</f>
        <v>0</v>
      </c>
      <c r="AB280" s="205">
        <f>SUM(AB281:AB285)</f>
        <v>0</v>
      </c>
      <c r="AC280" s="205">
        <f t="shared" si="56"/>
        <v>0</v>
      </c>
      <c r="AD280" s="205">
        <f t="shared" si="56"/>
        <v>0</v>
      </c>
      <c r="AE280" s="205">
        <f t="shared" si="56"/>
        <v>0</v>
      </c>
      <c r="AF280" s="205">
        <f t="shared" si="56"/>
        <v>0</v>
      </c>
      <c r="AG280" s="205">
        <f t="shared" si="56"/>
        <v>0</v>
      </c>
      <c r="AH280" s="205">
        <f t="shared" si="56"/>
        <v>0</v>
      </c>
      <c r="AI280" s="205">
        <f t="shared" si="56"/>
        <v>0</v>
      </c>
      <c r="AJ280" s="205">
        <f t="shared" si="56"/>
        <v>0</v>
      </c>
      <c r="AK280" s="205">
        <f t="shared" si="56"/>
        <v>0</v>
      </c>
      <c r="AL280" s="205">
        <f t="shared" si="56"/>
        <v>0</v>
      </c>
      <c r="AM280" s="179"/>
    </row>
    <row r="281" spans="1:39" s="91" customFormat="1" outlineLevel="1">
      <c r="A281" s="477" t="str">
        <f t="shared" si="46"/>
        <v>1</v>
      </c>
      <c r="B281" s="91" t="s">
        <v>1454</v>
      </c>
      <c r="L281" s="206" t="s">
        <v>141</v>
      </c>
      <c r="M281" s="207" t="s">
        <v>358</v>
      </c>
      <c r="N281" s="137" t="s">
        <v>352</v>
      </c>
      <c r="O281" s="208"/>
      <c r="P281" s="208"/>
      <c r="Q281" s="208"/>
      <c r="R281" s="208"/>
      <c r="S281" s="208"/>
      <c r="T281" s="208"/>
      <c r="U281" s="208"/>
      <c r="V281" s="208"/>
      <c r="W281" s="208"/>
      <c r="X281" s="208"/>
      <c r="Y281" s="208"/>
      <c r="Z281" s="208"/>
      <c r="AA281" s="208"/>
      <c r="AB281" s="208"/>
      <c r="AC281" s="208"/>
      <c r="AD281" s="208"/>
      <c r="AE281" s="208"/>
      <c r="AF281" s="208"/>
      <c r="AG281" s="208"/>
      <c r="AH281" s="208"/>
      <c r="AI281" s="208"/>
      <c r="AJ281" s="208"/>
      <c r="AK281" s="208"/>
      <c r="AL281" s="208"/>
      <c r="AM281" s="179"/>
    </row>
    <row r="282" spans="1:39" s="91" customFormat="1" outlineLevel="1">
      <c r="A282" s="477" t="str">
        <f t="shared" si="46"/>
        <v>1</v>
      </c>
      <c r="B282" s="91" t="s">
        <v>1455</v>
      </c>
      <c r="L282" s="206" t="s">
        <v>183</v>
      </c>
      <c r="M282" s="207" t="s">
        <v>359</v>
      </c>
      <c r="N282" s="137" t="s">
        <v>352</v>
      </c>
      <c r="O282" s="208"/>
      <c r="P282" s="208"/>
      <c r="Q282" s="208"/>
      <c r="R282" s="208"/>
      <c r="S282" s="208"/>
      <c r="T282" s="208"/>
      <c r="U282" s="208"/>
      <c r="V282" s="208"/>
      <c r="W282" s="208"/>
      <c r="X282" s="208"/>
      <c r="Y282" s="208"/>
      <c r="Z282" s="208"/>
      <c r="AA282" s="208"/>
      <c r="AB282" s="208"/>
      <c r="AC282" s="208"/>
      <c r="AD282" s="208"/>
      <c r="AE282" s="208"/>
      <c r="AF282" s="208"/>
      <c r="AG282" s="208"/>
      <c r="AH282" s="208"/>
      <c r="AI282" s="208"/>
      <c r="AJ282" s="208"/>
      <c r="AK282" s="208"/>
      <c r="AL282" s="208"/>
      <c r="AM282" s="179"/>
    </row>
    <row r="283" spans="1:39" s="91" customFormat="1" outlineLevel="1">
      <c r="A283" s="477" t="str">
        <f t="shared" si="46"/>
        <v>1</v>
      </c>
      <c r="B283" s="91" t="s">
        <v>1667</v>
      </c>
      <c r="L283" s="206" t="s">
        <v>390</v>
      </c>
      <c r="M283" s="207" t="s">
        <v>361</v>
      </c>
      <c r="N283" s="137" t="s">
        <v>352</v>
      </c>
      <c r="O283" s="208"/>
      <c r="P283" s="208"/>
      <c r="Q283" s="208"/>
      <c r="R283" s="208"/>
      <c r="S283" s="208"/>
      <c r="T283" s="208"/>
      <c r="U283" s="208"/>
      <c r="V283" s="208"/>
      <c r="W283" s="208"/>
      <c r="X283" s="208"/>
      <c r="Y283" s="208"/>
      <c r="Z283" s="208"/>
      <c r="AA283" s="208"/>
      <c r="AB283" s="208"/>
      <c r="AC283" s="208"/>
      <c r="AD283" s="208"/>
      <c r="AE283" s="208"/>
      <c r="AF283" s="208"/>
      <c r="AG283" s="208"/>
      <c r="AH283" s="208"/>
      <c r="AI283" s="208"/>
      <c r="AJ283" s="208"/>
      <c r="AK283" s="208"/>
      <c r="AL283" s="208"/>
      <c r="AM283" s="179"/>
    </row>
    <row r="284" spans="1:39" s="91" customFormat="1" outlineLevel="1">
      <c r="A284" s="477" t="str">
        <f t="shared" si="46"/>
        <v>1</v>
      </c>
      <c r="B284" s="91" t="s">
        <v>1706</v>
      </c>
      <c r="L284" s="206" t="s">
        <v>391</v>
      </c>
      <c r="M284" s="207" t="s">
        <v>363</v>
      </c>
      <c r="N284" s="137" t="s">
        <v>352</v>
      </c>
      <c r="O284" s="208"/>
      <c r="P284" s="208"/>
      <c r="Q284" s="208"/>
      <c r="R284" s="208"/>
      <c r="S284" s="208"/>
      <c r="T284" s="208"/>
      <c r="U284" s="208"/>
      <c r="V284" s="208"/>
      <c r="W284" s="208"/>
      <c r="X284" s="208"/>
      <c r="Y284" s="208"/>
      <c r="Z284" s="208"/>
      <c r="AA284" s="208"/>
      <c r="AB284" s="208"/>
      <c r="AC284" s="208"/>
      <c r="AD284" s="208"/>
      <c r="AE284" s="208"/>
      <c r="AF284" s="208"/>
      <c r="AG284" s="208"/>
      <c r="AH284" s="208"/>
      <c r="AI284" s="208"/>
      <c r="AJ284" s="208"/>
      <c r="AK284" s="208"/>
      <c r="AL284" s="208"/>
      <c r="AM284" s="179"/>
    </row>
    <row r="285" spans="1:39" s="91" customFormat="1" outlineLevel="1">
      <c r="A285" s="477" t="str">
        <f t="shared" si="46"/>
        <v>1</v>
      </c>
      <c r="B285" s="91" t="s">
        <v>1707</v>
      </c>
      <c r="L285" s="206" t="s">
        <v>392</v>
      </c>
      <c r="M285" s="207" t="s">
        <v>365</v>
      </c>
      <c r="N285" s="137" t="s">
        <v>352</v>
      </c>
      <c r="O285" s="208"/>
      <c r="P285" s="208"/>
      <c r="Q285" s="208"/>
      <c r="R285" s="208"/>
      <c r="S285" s="208"/>
      <c r="T285" s="208"/>
      <c r="U285" s="208"/>
      <c r="V285" s="208"/>
      <c r="W285" s="208"/>
      <c r="X285" s="208"/>
      <c r="Y285" s="208"/>
      <c r="Z285" s="208"/>
      <c r="AA285" s="208"/>
      <c r="AB285" s="208"/>
      <c r="AC285" s="208"/>
      <c r="AD285" s="208"/>
      <c r="AE285" s="208"/>
      <c r="AF285" s="208"/>
      <c r="AG285" s="208"/>
      <c r="AH285" s="208"/>
      <c r="AI285" s="208"/>
      <c r="AJ285" s="208"/>
      <c r="AK285" s="208"/>
      <c r="AL285" s="208"/>
      <c r="AM285" s="179"/>
    </row>
    <row r="286" spans="1:39">
      <c r="B286" s="484"/>
      <c r="C286" s="484"/>
    </row>
    <row r="287" spans="1:39" s="131" customFormat="1" ht="30" customHeight="1">
      <c r="A287" s="130" t="s">
        <v>1044</v>
      </c>
      <c r="B287" s="574"/>
      <c r="C287" s="574"/>
      <c r="M287" s="132"/>
      <c r="N287" s="132"/>
      <c r="O287" s="132"/>
      <c r="P287" s="132"/>
      <c r="AA287" s="133"/>
    </row>
    <row r="288" spans="1:39">
      <c r="A288" s="134" t="s">
        <v>1045</v>
      </c>
      <c r="B288" s="484"/>
      <c r="C288" s="484"/>
    </row>
    <row r="289" spans="1:39" s="80" customFormat="1" ht="15" customHeight="1">
      <c r="A289" s="168" t="s">
        <v>18</v>
      </c>
      <c r="L289" s="222" t="str">
        <f>INDEX('Общие сведения'!$J$114:$J$140,MATCH($A289,'Общие сведения'!$D$114:$D$140,0))</f>
        <v>Тариф 1 (Водоотведение) - тариф на транспортировку сточных вод</v>
      </c>
      <c r="M289" s="144"/>
      <c r="N289" s="139"/>
      <c r="O289" s="139"/>
      <c r="P289" s="139"/>
      <c r="Q289" s="139"/>
      <c r="R289" s="139"/>
      <c r="S289" s="139"/>
      <c r="T289" s="139"/>
      <c r="U289" s="139"/>
      <c r="V289" s="139"/>
      <c r="W289" s="139"/>
      <c r="X289" s="139"/>
      <c r="Y289" s="139"/>
      <c r="Z289" s="139"/>
      <c r="AA289" s="139"/>
      <c r="AB289" s="139"/>
      <c r="AC289" s="139"/>
      <c r="AD289" s="139"/>
      <c r="AE289" s="139"/>
      <c r="AF289" s="139"/>
      <c r="AG289" s="139"/>
      <c r="AH289" s="139"/>
      <c r="AI289" s="139"/>
      <c r="AJ289" s="139"/>
      <c r="AK289" s="139"/>
      <c r="AL289" s="139"/>
      <c r="AM289" s="201"/>
    </row>
    <row r="290" spans="1:39" s="80" customFormat="1" ht="24" customHeight="1" outlineLevel="1">
      <c r="A290" s="477" t="str">
        <f t="shared" ref="A290:A296" si="57">A289</f>
        <v>1</v>
      </c>
      <c r="B290" s="80" t="s">
        <v>1406</v>
      </c>
      <c r="L290" s="212" t="s">
        <v>18</v>
      </c>
      <c r="M290" s="213" t="s">
        <v>393</v>
      </c>
      <c r="N290" s="191" t="s">
        <v>352</v>
      </c>
      <c r="O290" s="300">
        <f>O291+O294+O295+O296</f>
        <v>0</v>
      </c>
      <c r="P290" s="300">
        <f t="shared" ref="P290:AL290" si="58">P291+P294+P295+P296</f>
        <v>0</v>
      </c>
      <c r="Q290" s="300">
        <f t="shared" si="58"/>
        <v>0</v>
      </c>
      <c r="R290" s="300">
        <f t="shared" si="58"/>
        <v>0</v>
      </c>
      <c r="S290" s="300">
        <f t="shared" si="58"/>
        <v>0</v>
      </c>
      <c r="T290" s="300">
        <f t="shared" si="58"/>
        <v>0</v>
      </c>
      <c r="U290" s="300">
        <f t="shared" si="58"/>
        <v>0</v>
      </c>
      <c r="V290" s="300">
        <f t="shared" si="58"/>
        <v>0</v>
      </c>
      <c r="W290" s="300">
        <f t="shared" si="58"/>
        <v>0</v>
      </c>
      <c r="X290" s="300">
        <f t="shared" si="58"/>
        <v>0</v>
      </c>
      <c r="Y290" s="300">
        <f t="shared" si="58"/>
        <v>0</v>
      </c>
      <c r="Z290" s="300">
        <f t="shared" si="58"/>
        <v>0</v>
      </c>
      <c r="AA290" s="300">
        <f t="shared" si="58"/>
        <v>0</v>
      </c>
      <c r="AB290" s="300">
        <f t="shared" si="58"/>
        <v>0</v>
      </c>
      <c r="AC290" s="300">
        <f t="shared" si="58"/>
        <v>0</v>
      </c>
      <c r="AD290" s="300">
        <f t="shared" si="58"/>
        <v>0</v>
      </c>
      <c r="AE290" s="300">
        <f t="shared" si="58"/>
        <v>0</v>
      </c>
      <c r="AF290" s="300">
        <f t="shared" si="58"/>
        <v>0</v>
      </c>
      <c r="AG290" s="300">
        <f t="shared" si="58"/>
        <v>0</v>
      </c>
      <c r="AH290" s="300">
        <f t="shared" si="58"/>
        <v>0</v>
      </c>
      <c r="AI290" s="300">
        <f t="shared" si="58"/>
        <v>0</v>
      </c>
      <c r="AJ290" s="300">
        <f t="shared" si="58"/>
        <v>0</v>
      </c>
      <c r="AK290" s="300">
        <f t="shared" si="58"/>
        <v>0</v>
      </c>
      <c r="AL290" s="300">
        <f t="shared" si="58"/>
        <v>0</v>
      </c>
      <c r="AM290" s="179"/>
    </row>
    <row r="291" spans="1:39" s="80" customFormat="1" ht="11.25" customHeight="1" outlineLevel="1">
      <c r="A291" s="477" t="str">
        <f t="shared" si="57"/>
        <v>1</v>
      </c>
      <c r="B291" s="80" t="s">
        <v>1407</v>
      </c>
      <c r="L291" s="215" t="s">
        <v>149</v>
      </c>
      <c r="M291" s="216" t="s">
        <v>12</v>
      </c>
      <c r="N291" s="137" t="s">
        <v>352</v>
      </c>
      <c r="O291" s="219">
        <f t="shared" ref="O291:AL291" si="59">SUM(O292:O293)</f>
        <v>0</v>
      </c>
      <c r="P291" s="219">
        <f t="shared" si="59"/>
        <v>0</v>
      </c>
      <c r="Q291" s="219">
        <f t="shared" si="59"/>
        <v>0</v>
      </c>
      <c r="R291" s="219">
        <f t="shared" si="59"/>
        <v>0</v>
      </c>
      <c r="S291" s="219">
        <f t="shared" si="59"/>
        <v>0</v>
      </c>
      <c r="T291" s="219">
        <f t="shared" si="59"/>
        <v>0</v>
      </c>
      <c r="U291" s="219">
        <f t="shared" si="59"/>
        <v>0</v>
      </c>
      <c r="V291" s="219">
        <f t="shared" si="59"/>
        <v>0</v>
      </c>
      <c r="W291" s="219">
        <f t="shared" si="59"/>
        <v>0</v>
      </c>
      <c r="X291" s="219">
        <f t="shared" si="59"/>
        <v>0</v>
      </c>
      <c r="Y291" s="219">
        <f t="shared" si="59"/>
        <v>0</v>
      </c>
      <c r="Z291" s="219">
        <f t="shared" si="59"/>
        <v>0</v>
      </c>
      <c r="AA291" s="219">
        <f t="shared" si="59"/>
        <v>0</v>
      </c>
      <c r="AB291" s="219">
        <f t="shared" si="59"/>
        <v>0</v>
      </c>
      <c r="AC291" s="219">
        <f t="shared" si="59"/>
        <v>0</v>
      </c>
      <c r="AD291" s="219">
        <f t="shared" si="59"/>
        <v>0</v>
      </c>
      <c r="AE291" s="219">
        <f t="shared" si="59"/>
        <v>0</v>
      </c>
      <c r="AF291" s="219">
        <f t="shared" si="59"/>
        <v>0</v>
      </c>
      <c r="AG291" s="219">
        <f t="shared" si="59"/>
        <v>0</v>
      </c>
      <c r="AH291" s="219">
        <f t="shared" si="59"/>
        <v>0</v>
      </c>
      <c r="AI291" s="219">
        <f t="shared" si="59"/>
        <v>0</v>
      </c>
      <c r="AJ291" s="219">
        <f t="shared" si="59"/>
        <v>0</v>
      </c>
      <c r="AK291" s="219">
        <f t="shared" si="59"/>
        <v>0</v>
      </c>
      <c r="AL291" s="219">
        <f t="shared" si="59"/>
        <v>0</v>
      </c>
      <c r="AM291" s="179"/>
    </row>
    <row r="292" spans="1:39" s="80" customFormat="1" ht="24" customHeight="1" outlineLevel="1">
      <c r="A292" s="477" t="str">
        <f t="shared" si="57"/>
        <v>1</v>
      </c>
      <c r="B292" s="80" t="s">
        <v>1658</v>
      </c>
      <c r="L292" s="215" t="s">
        <v>394</v>
      </c>
      <c r="M292" s="218" t="s">
        <v>395</v>
      </c>
      <c r="N292" s="137" t="s">
        <v>352</v>
      </c>
      <c r="O292" s="219"/>
      <c r="P292" s="219"/>
      <c r="Q292" s="219"/>
      <c r="R292" s="219"/>
      <c r="S292" s="219"/>
      <c r="T292" s="219"/>
      <c r="U292" s="219"/>
      <c r="V292" s="219"/>
      <c r="W292" s="219"/>
      <c r="X292" s="219"/>
      <c r="Y292" s="219"/>
      <c r="Z292" s="219"/>
      <c r="AA292" s="219"/>
      <c r="AB292" s="219"/>
      <c r="AC292" s="219"/>
      <c r="AD292" s="219"/>
      <c r="AE292" s="219"/>
      <c r="AF292" s="219"/>
      <c r="AG292" s="219"/>
      <c r="AH292" s="219"/>
      <c r="AI292" s="219"/>
      <c r="AJ292" s="219"/>
      <c r="AK292" s="219"/>
      <c r="AL292" s="219"/>
      <c r="AM292" s="179"/>
    </row>
    <row r="293" spans="1:39" s="80" customFormat="1" ht="11.25" customHeight="1" outlineLevel="1">
      <c r="A293" s="477" t="str">
        <f t="shared" si="57"/>
        <v>1</v>
      </c>
      <c r="B293" s="80" t="s">
        <v>1659</v>
      </c>
      <c r="L293" s="215" t="s">
        <v>396</v>
      </c>
      <c r="M293" s="218" t="s">
        <v>397</v>
      </c>
      <c r="N293" s="137" t="s">
        <v>352</v>
      </c>
      <c r="O293" s="219"/>
      <c r="P293" s="219"/>
      <c r="Q293" s="219"/>
      <c r="R293" s="219"/>
      <c r="S293" s="219"/>
      <c r="T293" s="219"/>
      <c r="U293" s="219"/>
      <c r="V293" s="219"/>
      <c r="W293" s="219"/>
      <c r="X293" s="219"/>
      <c r="Y293" s="219"/>
      <c r="Z293" s="219"/>
      <c r="AA293" s="219"/>
      <c r="AB293" s="219"/>
      <c r="AC293" s="219"/>
      <c r="AD293" s="219"/>
      <c r="AE293" s="219"/>
      <c r="AF293" s="219"/>
      <c r="AG293" s="219"/>
      <c r="AH293" s="219"/>
      <c r="AI293" s="219"/>
      <c r="AJ293" s="219"/>
      <c r="AK293" s="219"/>
      <c r="AL293" s="219"/>
      <c r="AM293" s="179"/>
    </row>
    <row r="294" spans="1:39" s="80" customFormat="1" ht="11.25" customHeight="1" outlineLevel="1">
      <c r="A294" s="477" t="str">
        <f t="shared" si="57"/>
        <v>1</v>
      </c>
      <c r="B294" s="80" t="s">
        <v>1408</v>
      </c>
      <c r="L294" s="215" t="s">
        <v>150</v>
      </c>
      <c r="M294" s="220" t="s">
        <v>398</v>
      </c>
      <c r="N294" s="137" t="s">
        <v>352</v>
      </c>
      <c r="O294" s="219"/>
      <c r="P294" s="219"/>
      <c r="Q294" s="219"/>
      <c r="R294" s="219"/>
      <c r="S294" s="219"/>
      <c r="T294" s="219"/>
      <c r="U294" s="219"/>
      <c r="V294" s="219"/>
      <c r="W294" s="219"/>
      <c r="X294" s="219"/>
      <c r="Y294" s="219"/>
      <c r="Z294" s="219"/>
      <c r="AA294" s="219"/>
      <c r="AB294" s="219"/>
      <c r="AC294" s="219"/>
      <c r="AD294" s="219"/>
      <c r="AE294" s="219"/>
      <c r="AF294" s="219"/>
      <c r="AG294" s="219"/>
      <c r="AH294" s="219"/>
      <c r="AI294" s="219"/>
      <c r="AJ294" s="219"/>
      <c r="AK294" s="219"/>
      <c r="AL294" s="219"/>
      <c r="AM294" s="179"/>
    </row>
    <row r="295" spans="1:39" s="80" customFormat="1" ht="11.25" customHeight="1" outlineLevel="1">
      <c r="A295" s="477" t="str">
        <f t="shared" si="57"/>
        <v>1</v>
      </c>
      <c r="B295" s="80" t="s">
        <v>1519</v>
      </c>
      <c r="L295" s="215" t="s">
        <v>360</v>
      </c>
      <c r="M295" s="221" t="s">
        <v>399</v>
      </c>
      <c r="N295" s="137" t="s">
        <v>352</v>
      </c>
      <c r="O295" s="219"/>
      <c r="P295" s="219"/>
      <c r="Q295" s="219"/>
      <c r="R295" s="219"/>
      <c r="S295" s="219"/>
      <c r="T295" s="219"/>
      <c r="U295" s="219"/>
      <c r="V295" s="219"/>
      <c r="W295" s="219"/>
      <c r="X295" s="219"/>
      <c r="Y295" s="219"/>
      <c r="Z295" s="219"/>
      <c r="AA295" s="219"/>
      <c r="AB295" s="219"/>
      <c r="AC295" s="219"/>
      <c r="AD295" s="219"/>
      <c r="AE295" s="219"/>
      <c r="AF295" s="219"/>
      <c r="AG295" s="219"/>
      <c r="AH295" s="219"/>
      <c r="AI295" s="219"/>
      <c r="AJ295" s="219"/>
      <c r="AK295" s="219"/>
      <c r="AL295" s="219"/>
      <c r="AM295" s="179"/>
    </row>
    <row r="296" spans="1:39" s="80" customFormat="1" ht="11.25" customHeight="1" outlineLevel="1">
      <c r="A296" s="477" t="str">
        <f t="shared" si="57"/>
        <v>1</v>
      </c>
      <c r="B296" s="80" t="s">
        <v>1527</v>
      </c>
      <c r="L296" s="215" t="s">
        <v>362</v>
      </c>
      <c r="M296" s="221" t="s">
        <v>400</v>
      </c>
      <c r="N296" s="137" t="s">
        <v>352</v>
      </c>
      <c r="O296" s="219"/>
      <c r="P296" s="219"/>
      <c r="Q296" s="219"/>
      <c r="R296" s="219"/>
      <c r="S296" s="219"/>
      <c r="T296" s="219"/>
      <c r="U296" s="219"/>
      <c r="V296" s="219"/>
      <c r="W296" s="219"/>
      <c r="X296" s="219"/>
      <c r="Y296" s="219"/>
      <c r="Z296" s="219"/>
      <c r="AA296" s="219"/>
      <c r="AB296" s="219"/>
      <c r="AC296" s="219"/>
      <c r="AD296" s="219"/>
      <c r="AE296" s="219"/>
      <c r="AF296" s="219"/>
      <c r="AG296" s="219"/>
      <c r="AH296" s="219"/>
      <c r="AI296" s="219"/>
      <c r="AJ296" s="219"/>
      <c r="AK296" s="219"/>
      <c r="AL296" s="219"/>
      <c r="AM296" s="179"/>
    </row>
    <row r="297" spans="1:39">
      <c r="B297" s="484"/>
      <c r="C297" s="484"/>
    </row>
    <row r="298" spans="1:39" s="131" customFormat="1" ht="30" customHeight="1">
      <c r="A298" s="130" t="s">
        <v>1051</v>
      </c>
      <c r="B298" s="574"/>
      <c r="C298" s="574"/>
      <c r="M298" s="132"/>
      <c r="N298" s="132"/>
      <c r="O298" s="132"/>
      <c r="P298" s="132"/>
      <c r="AA298" s="133"/>
    </row>
    <row r="299" spans="1:39">
      <c r="A299" s="134" t="s">
        <v>1052</v>
      </c>
      <c r="B299" s="484"/>
      <c r="C299" s="484"/>
    </row>
    <row r="300" spans="1:39" s="96" customFormat="1">
      <c r="A300" s="168" t="s">
        <v>18</v>
      </c>
      <c r="B300" s="96" t="s">
        <v>1202</v>
      </c>
      <c r="L300" s="222" t="str">
        <f>INDEX('Общие сведения'!$J$114:$J$140,MATCH($A300,'Общие сведения'!$D$114:$D$140,0))</f>
        <v>Тариф 1 (Водоотведение) - тариф на транспортировку сточных вод</v>
      </c>
      <c r="M300" s="144"/>
      <c r="N300" s="144"/>
      <c r="O300" s="403">
        <f>O301+O304+O307+O310+O313+O316+O317+O318</f>
        <v>0</v>
      </c>
      <c r="P300" s="403">
        <f t="shared" ref="P300:AL300" si="60">P301+P304+P307+P310+P313+P316+P317+P318</f>
        <v>0</v>
      </c>
      <c r="Q300" s="403">
        <f t="shared" si="60"/>
        <v>0</v>
      </c>
      <c r="R300" s="403">
        <f t="shared" si="60"/>
        <v>0</v>
      </c>
      <c r="S300" s="403">
        <f t="shared" si="60"/>
        <v>0</v>
      </c>
      <c r="T300" s="403">
        <f t="shared" si="60"/>
        <v>0</v>
      </c>
      <c r="U300" s="403">
        <f t="shared" si="60"/>
        <v>0</v>
      </c>
      <c r="V300" s="403">
        <f t="shared" si="60"/>
        <v>0</v>
      </c>
      <c r="W300" s="403">
        <f t="shared" si="60"/>
        <v>0</v>
      </c>
      <c r="X300" s="403">
        <f t="shared" si="60"/>
        <v>0</v>
      </c>
      <c r="Y300" s="403">
        <f t="shared" si="60"/>
        <v>0</v>
      </c>
      <c r="Z300" s="403">
        <f t="shared" si="60"/>
        <v>0</v>
      </c>
      <c r="AA300" s="403">
        <f t="shared" si="60"/>
        <v>0</v>
      </c>
      <c r="AB300" s="403">
        <f t="shared" si="60"/>
        <v>0</v>
      </c>
      <c r="AC300" s="403">
        <f t="shared" si="60"/>
        <v>0</v>
      </c>
      <c r="AD300" s="403">
        <f t="shared" si="60"/>
        <v>0</v>
      </c>
      <c r="AE300" s="403">
        <f t="shared" si="60"/>
        <v>0</v>
      </c>
      <c r="AF300" s="403">
        <f t="shared" si="60"/>
        <v>0</v>
      </c>
      <c r="AG300" s="403">
        <f t="shared" si="60"/>
        <v>0</v>
      </c>
      <c r="AH300" s="403">
        <f t="shared" si="60"/>
        <v>0</v>
      </c>
      <c r="AI300" s="403">
        <f t="shared" si="60"/>
        <v>0</v>
      </c>
      <c r="AJ300" s="403">
        <f t="shared" si="60"/>
        <v>0</v>
      </c>
      <c r="AK300" s="403">
        <f t="shared" si="60"/>
        <v>0</v>
      </c>
      <c r="AL300" s="403">
        <f t="shared" si="60"/>
        <v>0</v>
      </c>
      <c r="AM300" s="227"/>
    </row>
    <row r="301" spans="1:39" s="96" customFormat="1" outlineLevel="1">
      <c r="A301" s="477" t="str">
        <f t="shared" ref="A301:A318" si="61">A300</f>
        <v>1</v>
      </c>
      <c r="B301" s="96" t="s">
        <v>1406</v>
      </c>
      <c r="L301" s="202">
        <v>1</v>
      </c>
      <c r="M301" s="459" t="s">
        <v>402</v>
      </c>
      <c r="N301" s="209" t="s">
        <v>352</v>
      </c>
      <c r="O301" s="205">
        <f>SUMIF(N302:N303,N301,O302:O303)</f>
        <v>0</v>
      </c>
      <c r="P301" s="205">
        <f>SUMIF(N302:N303,N301,P302:P303)</f>
        <v>0</v>
      </c>
      <c r="Q301" s="205">
        <f>SUMIF(N302:N303,N301,Q302:Q303)</f>
        <v>0</v>
      </c>
      <c r="R301" s="205">
        <f>SUMIF(N302:N303,N301,R302:R303)</f>
        <v>0</v>
      </c>
      <c r="S301" s="205">
        <f>SUMIF(N302:N303,N301,S302:S303)</f>
        <v>0</v>
      </c>
      <c r="T301" s="232">
        <f>SUMIF(N302:N303,N301,T302:T303)</f>
        <v>0</v>
      </c>
      <c r="U301" s="232">
        <f>SUMIF(N302:N303,N301,U302:U303)</f>
        <v>0</v>
      </c>
      <c r="V301" s="232">
        <f>SUMIF(N302:N303,N301,V302:V303)</f>
        <v>0</v>
      </c>
      <c r="W301" s="232">
        <f>SUMIF(N302:N303,N301,W302:W303)</f>
        <v>0</v>
      </c>
      <c r="X301" s="232">
        <f>SUMIF(N302:N303,N301,X302:X303)</f>
        <v>0</v>
      </c>
      <c r="Y301" s="232">
        <f>SUMIF(N302:N303,N301,Y302:Y303)</f>
        <v>0</v>
      </c>
      <c r="Z301" s="232">
        <f>SUMIF(N302:N303,N301,Z302:Z303)</f>
        <v>0</v>
      </c>
      <c r="AA301" s="232">
        <f>SUMIF(N302:N303,N301,AA302:AA303)</f>
        <v>0</v>
      </c>
      <c r="AB301" s="232">
        <f>SUMIF(N302:N303,N301,AB302:AB303)</f>
        <v>0</v>
      </c>
      <c r="AC301" s="205">
        <f>SUMIF(N302:N303,N301,AC302:AC303)</f>
        <v>0</v>
      </c>
      <c r="AD301" s="232">
        <f>SUMIF(N302:N303,N301,AD302:AD303)</f>
        <v>0</v>
      </c>
      <c r="AE301" s="232">
        <f>SUMIF(N302:N303,N301,AE302:AE303)</f>
        <v>0</v>
      </c>
      <c r="AF301" s="232">
        <f>SUMIF(N302:N303,N301,AF302:AF303)</f>
        <v>0</v>
      </c>
      <c r="AG301" s="232">
        <f>SUMIF(N302:N303,N301,AG302:AG303)</f>
        <v>0</v>
      </c>
      <c r="AH301" s="232">
        <f>SUMIF(N302:N303,N301,AH302:AH303)</f>
        <v>0</v>
      </c>
      <c r="AI301" s="232">
        <f>SUMIF(N302:N303,N301,AI302:AI303)</f>
        <v>0</v>
      </c>
      <c r="AJ301" s="232">
        <f>SUMIF(N302:N303,N301,AJ302:AJ303)</f>
        <v>0</v>
      </c>
      <c r="AK301" s="232">
        <f>SUMIF(N302:N303,N301,AK302:AK303)</f>
        <v>0</v>
      </c>
      <c r="AL301" s="232">
        <f>SUMIF(N302:N303,N301,AL302:AL303)</f>
        <v>0</v>
      </c>
      <c r="AM301" s="179"/>
    </row>
    <row r="302" spans="1:39" s="96" customFormat="1" ht="0.15" customHeight="1" outlineLevel="1">
      <c r="A302" s="477" t="str">
        <f t="shared" si="61"/>
        <v>1</v>
      </c>
      <c r="J302" s="225" t="s">
        <v>1046</v>
      </c>
      <c r="L302" s="202"/>
      <c r="M302" s="459"/>
      <c r="N302" s="209"/>
      <c r="O302" s="210"/>
      <c r="P302" s="210"/>
      <c r="Q302" s="210"/>
      <c r="R302" s="210"/>
      <c r="S302" s="210"/>
      <c r="T302" s="210"/>
      <c r="U302" s="210"/>
      <c r="V302" s="210"/>
      <c r="W302" s="210"/>
      <c r="X302" s="210"/>
      <c r="Y302" s="210"/>
      <c r="Z302" s="210"/>
      <c r="AA302" s="210"/>
      <c r="AB302" s="210"/>
      <c r="AC302" s="210"/>
      <c r="AD302" s="210"/>
      <c r="AE302" s="210"/>
      <c r="AF302" s="210"/>
      <c r="AG302" s="210"/>
      <c r="AH302" s="210"/>
      <c r="AI302" s="210"/>
      <c r="AJ302" s="210"/>
      <c r="AK302" s="210"/>
      <c r="AL302" s="210"/>
      <c r="AM302" s="228"/>
    </row>
    <row r="303" spans="1:39" s="96" customFormat="1" outlineLevel="1">
      <c r="A303" s="477" t="str">
        <f t="shared" si="61"/>
        <v>1</v>
      </c>
      <c r="B303" s="96" t="str">
        <f>A303&amp;"pIns1"</f>
        <v>1pIns1</v>
      </c>
      <c r="J303" s="226"/>
      <c r="L303" s="242"/>
      <c r="M303" s="243" t="s">
        <v>1050</v>
      </c>
      <c r="N303" s="243"/>
      <c r="O303" s="243"/>
      <c r="P303" s="243"/>
      <c r="Q303" s="243"/>
      <c r="R303" s="243"/>
      <c r="S303" s="243"/>
      <c r="T303" s="243"/>
      <c r="U303" s="243"/>
      <c r="V303" s="243"/>
      <c r="W303" s="243"/>
      <c r="X303" s="243"/>
      <c r="Y303" s="243"/>
      <c r="Z303" s="243"/>
      <c r="AA303" s="243"/>
      <c r="AB303" s="243"/>
      <c r="AC303" s="243"/>
      <c r="AD303" s="243"/>
      <c r="AE303" s="243"/>
      <c r="AF303" s="243"/>
      <c r="AG303" s="243"/>
      <c r="AH303" s="243"/>
      <c r="AI303" s="243"/>
      <c r="AJ303" s="243"/>
      <c r="AK303" s="243"/>
      <c r="AL303" s="243"/>
      <c r="AM303" s="244"/>
    </row>
    <row r="304" spans="1:39" s="96" customFormat="1" outlineLevel="1">
      <c r="A304" s="477" t="str">
        <f t="shared" si="61"/>
        <v>1</v>
      </c>
      <c r="B304" s="96" t="s">
        <v>1438</v>
      </c>
      <c r="L304" s="202">
        <v>2</v>
      </c>
      <c r="M304" s="459" t="s">
        <v>404</v>
      </c>
      <c r="N304" s="209" t="s">
        <v>352</v>
      </c>
      <c r="O304" s="205">
        <f>SUMIF(N305:N306,N304,O305:O306)</f>
        <v>0</v>
      </c>
      <c r="P304" s="205">
        <f>SUMIF(N305:N306,N304,P305:P306)</f>
        <v>0</v>
      </c>
      <c r="Q304" s="205">
        <f>SUMIF(N305:N306,N304,Q305:Q306)</f>
        <v>0</v>
      </c>
      <c r="R304" s="205">
        <f>SUMIF(N305:N306,N304,R305:R306)</f>
        <v>0</v>
      </c>
      <c r="S304" s="205">
        <f>SUMIF(N305:N306,N304,S305:S306)</f>
        <v>0</v>
      </c>
      <c r="T304" s="232">
        <f>SUMIF(N305:N306,N304,T305:T306)</f>
        <v>0</v>
      </c>
      <c r="U304" s="232">
        <f>SUMIF(N305:N306,N304,U305:U306)</f>
        <v>0</v>
      </c>
      <c r="V304" s="232">
        <f>SUMIF(N305:N306,N304,V305:V306)</f>
        <v>0</v>
      </c>
      <c r="W304" s="232">
        <f>SUMIF(N305:N306,N304,W305:W306)</f>
        <v>0</v>
      </c>
      <c r="X304" s="232">
        <f>SUMIF(N305:N306,N304,X305:X306)</f>
        <v>0</v>
      </c>
      <c r="Y304" s="232">
        <f>SUMIF(N305:N306,N304,Y305:Y306)</f>
        <v>0</v>
      </c>
      <c r="Z304" s="232">
        <f>SUMIF(N305:N306,N304,Z305:Z306)</f>
        <v>0</v>
      </c>
      <c r="AA304" s="232">
        <f>SUMIF(N305:N306,N304,AA305:AA306)</f>
        <v>0</v>
      </c>
      <c r="AB304" s="232">
        <f>SUMIF(N305:N306,N304,AB305:AB306)</f>
        <v>0</v>
      </c>
      <c r="AC304" s="205">
        <f>SUMIF(N305:N306,N304,AC305:AC306)</f>
        <v>0</v>
      </c>
      <c r="AD304" s="232">
        <f>SUMIF(N305:N306,N304,AD305:AD306)</f>
        <v>0</v>
      </c>
      <c r="AE304" s="232">
        <f>SUMIF(N305:N306,N304,AE305:AE306)</f>
        <v>0</v>
      </c>
      <c r="AF304" s="232">
        <f>SUMIF(N305:N306,N304,AF305:AF306)</f>
        <v>0</v>
      </c>
      <c r="AG304" s="232">
        <f>SUMIF(N305:N306,N304,AG305:AG306)</f>
        <v>0</v>
      </c>
      <c r="AH304" s="232">
        <f>SUMIF(N305:N306,N304,AH305:AH306)</f>
        <v>0</v>
      </c>
      <c r="AI304" s="232">
        <f>SUMIF(N305:N306,N304,AI305:AI306)</f>
        <v>0</v>
      </c>
      <c r="AJ304" s="232">
        <f>SUMIF(N305:N306,N304,AJ305:AJ306)</f>
        <v>0</v>
      </c>
      <c r="AK304" s="232">
        <f>SUMIF(N305:N306,N304,AK305:AK306)</f>
        <v>0</v>
      </c>
      <c r="AL304" s="232">
        <f>SUMIF(N305:N306,N304,AL305:AL306)</f>
        <v>0</v>
      </c>
      <c r="AM304" s="179"/>
    </row>
    <row r="305" spans="1:39" s="96" customFormat="1" ht="0.15" customHeight="1" outlineLevel="1">
      <c r="A305" s="477" t="str">
        <f t="shared" si="61"/>
        <v>1</v>
      </c>
      <c r="J305" s="225" t="s">
        <v>1047</v>
      </c>
      <c r="L305" s="202"/>
      <c r="M305" s="459"/>
      <c r="N305" s="209"/>
      <c r="O305" s="210"/>
      <c r="P305" s="210"/>
      <c r="Q305" s="210"/>
      <c r="R305" s="210"/>
      <c r="S305" s="210"/>
      <c r="T305" s="210"/>
      <c r="U305" s="210"/>
      <c r="V305" s="210"/>
      <c r="W305" s="210"/>
      <c r="X305" s="210"/>
      <c r="Y305" s="210"/>
      <c r="Z305" s="210"/>
      <c r="AA305" s="210"/>
      <c r="AB305" s="210"/>
      <c r="AC305" s="210"/>
      <c r="AD305" s="210"/>
      <c r="AE305" s="210"/>
      <c r="AF305" s="210"/>
      <c r="AG305" s="210"/>
      <c r="AH305" s="210"/>
      <c r="AI305" s="210"/>
      <c r="AJ305" s="210"/>
      <c r="AK305" s="210"/>
      <c r="AL305" s="210"/>
      <c r="AM305" s="228"/>
    </row>
    <row r="306" spans="1:39" s="96" customFormat="1" outlineLevel="1">
      <c r="A306" s="477" t="str">
        <f t="shared" si="61"/>
        <v>1</v>
      </c>
      <c r="B306" s="96" t="str">
        <f>A306&amp;"pIns2"</f>
        <v>1pIns2</v>
      </c>
      <c r="J306" s="226"/>
      <c r="L306" s="242"/>
      <c r="M306" s="243" t="s">
        <v>1050</v>
      </c>
      <c r="N306" s="243"/>
      <c r="O306" s="243"/>
      <c r="P306" s="243"/>
      <c r="Q306" s="243"/>
      <c r="R306" s="243"/>
      <c r="S306" s="243"/>
      <c r="T306" s="243"/>
      <c r="U306" s="243"/>
      <c r="V306" s="243"/>
      <c r="W306" s="243"/>
      <c r="X306" s="243"/>
      <c r="Y306" s="243"/>
      <c r="Z306" s="243"/>
      <c r="AA306" s="243"/>
      <c r="AB306" s="243"/>
      <c r="AC306" s="243"/>
      <c r="AD306" s="243"/>
      <c r="AE306" s="243"/>
      <c r="AF306" s="243"/>
      <c r="AG306" s="243"/>
      <c r="AH306" s="243"/>
      <c r="AI306" s="243"/>
      <c r="AJ306" s="243"/>
      <c r="AK306" s="243"/>
      <c r="AL306" s="243"/>
      <c r="AM306" s="244"/>
    </row>
    <row r="307" spans="1:39" s="96" customFormat="1" outlineLevel="1">
      <c r="A307" s="477" t="str">
        <f t="shared" si="61"/>
        <v>1</v>
      </c>
      <c r="B307" s="96" t="s">
        <v>1442</v>
      </c>
      <c r="L307" s="202">
        <v>3</v>
      </c>
      <c r="M307" s="459" t="s">
        <v>406</v>
      </c>
      <c r="N307" s="209" t="s">
        <v>352</v>
      </c>
      <c r="O307" s="205">
        <f>SUMIF(N308:N309,N307,O308:O309)</f>
        <v>0</v>
      </c>
      <c r="P307" s="205">
        <f>SUMIF(N308:N309,N307,P308:P309)</f>
        <v>0</v>
      </c>
      <c r="Q307" s="205">
        <f>SUMIF(N308:N309,N307,Q308:Q309)</f>
        <v>0</v>
      </c>
      <c r="R307" s="205">
        <f>SUMIF(N308:N309,N307,R308:R309)</f>
        <v>0</v>
      </c>
      <c r="S307" s="205">
        <f>SUMIF(N308:N309,N307,S308:S309)</f>
        <v>0</v>
      </c>
      <c r="T307" s="232">
        <f>SUMIF(N308:N309,N307,T308:T309)</f>
        <v>0</v>
      </c>
      <c r="U307" s="232">
        <f>SUMIF(N308:N309,N307,U308:U309)</f>
        <v>0</v>
      </c>
      <c r="V307" s="232">
        <f>SUMIF(N308:N309,N307,V308:V309)</f>
        <v>0</v>
      </c>
      <c r="W307" s="232">
        <f>SUMIF(N308:N309,N307,W308:W309)</f>
        <v>0</v>
      </c>
      <c r="X307" s="232">
        <f>SUMIF(N308:N309,N307,X308:X309)</f>
        <v>0</v>
      </c>
      <c r="Y307" s="232">
        <f>SUMIF(N308:N309,N307,Y308:Y309)</f>
        <v>0</v>
      </c>
      <c r="Z307" s="232">
        <f>SUMIF(N308:N309,N307,Z308:Z309)</f>
        <v>0</v>
      </c>
      <c r="AA307" s="232">
        <f>SUMIF(N308:N309,N307,AA308:AA309)</f>
        <v>0</v>
      </c>
      <c r="AB307" s="232">
        <f>SUMIF(N308:N309,N307,AB308:AB309)</f>
        <v>0</v>
      </c>
      <c r="AC307" s="205">
        <f>SUMIF(N308:N309,N307,AC308:AC309)</f>
        <v>0</v>
      </c>
      <c r="AD307" s="232">
        <f>SUMIF(N308:N309,N307,AD308:AD309)</f>
        <v>0</v>
      </c>
      <c r="AE307" s="232">
        <f>SUMIF(N308:N309,N307,AE308:AE309)</f>
        <v>0</v>
      </c>
      <c r="AF307" s="232">
        <f>SUMIF(N308:N309,N307,AF308:AF309)</f>
        <v>0</v>
      </c>
      <c r="AG307" s="232">
        <f>SUMIF(N308:N309,N307,AG308:AG309)</f>
        <v>0</v>
      </c>
      <c r="AH307" s="232">
        <f>SUMIF(N308:N309,N307,AH308:AH309)</f>
        <v>0</v>
      </c>
      <c r="AI307" s="232">
        <f>SUMIF(N308:N309,N307,AI308:AI309)</f>
        <v>0</v>
      </c>
      <c r="AJ307" s="232">
        <f>SUMIF(N308:N309,N307,AJ308:AJ309)</f>
        <v>0</v>
      </c>
      <c r="AK307" s="232">
        <f>SUMIF(N308:N309,N307,AK308:AK309)</f>
        <v>0</v>
      </c>
      <c r="AL307" s="232">
        <f>SUMIF(N308:N309,N307,AL308:AL309)</f>
        <v>0</v>
      </c>
      <c r="AM307" s="179"/>
    </row>
    <row r="308" spans="1:39" s="96" customFormat="1" ht="0.15" customHeight="1" outlineLevel="1">
      <c r="A308" s="477" t="str">
        <f t="shared" si="61"/>
        <v>1</v>
      </c>
      <c r="J308" s="225" t="s">
        <v>1048</v>
      </c>
      <c r="L308" s="202"/>
      <c r="M308" s="459"/>
      <c r="N308" s="209"/>
      <c r="O308" s="210"/>
      <c r="P308" s="210"/>
      <c r="Q308" s="210"/>
      <c r="R308" s="210"/>
      <c r="S308" s="210"/>
      <c r="T308" s="210"/>
      <c r="U308" s="210"/>
      <c r="V308" s="210"/>
      <c r="W308" s="210"/>
      <c r="X308" s="210"/>
      <c r="Y308" s="210"/>
      <c r="Z308" s="210"/>
      <c r="AA308" s="210"/>
      <c r="AB308" s="210"/>
      <c r="AC308" s="210"/>
      <c r="AD308" s="210"/>
      <c r="AE308" s="210"/>
      <c r="AF308" s="210"/>
      <c r="AG308" s="210"/>
      <c r="AH308" s="210"/>
      <c r="AI308" s="210"/>
      <c r="AJ308" s="210"/>
      <c r="AK308" s="210"/>
      <c r="AL308" s="210"/>
      <c r="AM308" s="228"/>
    </row>
    <row r="309" spans="1:39" s="96" customFormat="1" outlineLevel="1">
      <c r="A309" s="477" t="str">
        <f t="shared" si="61"/>
        <v>1</v>
      </c>
      <c r="B309" s="96" t="str">
        <f>A309&amp;"pIns3"</f>
        <v>1pIns3</v>
      </c>
      <c r="J309" s="226"/>
      <c r="L309" s="242"/>
      <c r="M309" s="243" t="s">
        <v>1050</v>
      </c>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4"/>
    </row>
    <row r="310" spans="1:39" s="96" customFormat="1" outlineLevel="1">
      <c r="A310" s="477" t="str">
        <f t="shared" si="61"/>
        <v>1</v>
      </c>
      <c r="B310" s="96" t="s">
        <v>1444</v>
      </c>
      <c r="L310" s="202">
        <v>4</v>
      </c>
      <c r="M310" s="459" t="s">
        <v>407</v>
      </c>
      <c r="N310" s="209" t="s">
        <v>352</v>
      </c>
      <c r="O310" s="205">
        <f>SUMIF(N311:N312,N310,O311:O312)</f>
        <v>0</v>
      </c>
      <c r="P310" s="205">
        <f>SUMIF(N311:N312,N310,P311:P312)</f>
        <v>0</v>
      </c>
      <c r="Q310" s="205">
        <f>SUMIF(N311:N312,N310,Q311:Q312)</f>
        <v>0</v>
      </c>
      <c r="R310" s="205">
        <f>SUMIF(N311:N312,N310,R311:R312)</f>
        <v>0</v>
      </c>
      <c r="S310" s="205">
        <f>SUMIF(N311:N312,N310,S311:S312)</f>
        <v>0</v>
      </c>
      <c r="T310" s="232">
        <f>SUMIF(N311:N312,N310,T311:T312)</f>
        <v>0</v>
      </c>
      <c r="U310" s="232">
        <f>SUMIF(N311:N312,N310,U311:U312)</f>
        <v>0</v>
      </c>
      <c r="V310" s="232">
        <f>SUMIF(N311:N312,N310,V311:V312)</f>
        <v>0</v>
      </c>
      <c r="W310" s="232">
        <f>SUMIF(N311:N312,N310,W311:W312)</f>
        <v>0</v>
      </c>
      <c r="X310" s="232">
        <f>SUMIF(N311:N312,N310,X311:X312)</f>
        <v>0</v>
      </c>
      <c r="Y310" s="232">
        <f>SUMIF(N311:N312,N310,Y311:Y312)</f>
        <v>0</v>
      </c>
      <c r="Z310" s="232">
        <f>SUMIF(N311:N312,N310,Z311:Z312)</f>
        <v>0</v>
      </c>
      <c r="AA310" s="232">
        <f>SUMIF(N311:N312,N310,AA311:AA312)</f>
        <v>0</v>
      </c>
      <c r="AB310" s="232">
        <f>SUMIF(N311:N312,N310,AB311:AB312)</f>
        <v>0</v>
      </c>
      <c r="AC310" s="205">
        <f>SUMIF(N311:N312,N310,AC311:AC312)</f>
        <v>0</v>
      </c>
      <c r="AD310" s="232">
        <f>SUMIF(N311:N312,N310,AD311:AD312)</f>
        <v>0</v>
      </c>
      <c r="AE310" s="232">
        <f>SUMIF(N311:N312,N310,AE311:AE312)</f>
        <v>0</v>
      </c>
      <c r="AF310" s="232">
        <f>SUMIF(N311:N312,N310,AF311:AF312)</f>
        <v>0</v>
      </c>
      <c r="AG310" s="232">
        <f>SUMIF(N311:N312,N310,AG311:AG312)</f>
        <v>0</v>
      </c>
      <c r="AH310" s="232">
        <f>SUMIF(N311:N312,N310,AH311:AH312)</f>
        <v>0</v>
      </c>
      <c r="AI310" s="232">
        <f>SUMIF(N311:N312,N310,AI311:AI312)</f>
        <v>0</v>
      </c>
      <c r="AJ310" s="232">
        <f>SUMIF(N311:N312,N310,AJ311:AJ312)</f>
        <v>0</v>
      </c>
      <c r="AK310" s="232">
        <f>SUMIF(N311:N312,N310,AK311:AK312)</f>
        <v>0</v>
      </c>
      <c r="AL310" s="232">
        <f>SUMIF(N311:N312,N310,AL311:AL312)</f>
        <v>0</v>
      </c>
      <c r="AM310" s="179"/>
    </row>
    <row r="311" spans="1:39" s="96" customFormat="1" ht="0.15" customHeight="1" outlineLevel="1">
      <c r="A311" s="477" t="str">
        <f t="shared" si="61"/>
        <v>1</v>
      </c>
      <c r="J311" s="225" t="s">
        <v>1049</v>
      </c>
      <c r="L311" s="202"/>
      <c r="M311" s="459"/>
      <c r="N311" s="209"/>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28"/>
    </row>
    <row r="312" spans="1:39" s="96" customFormat="1" outlineLevel="1">
      <c r="A312" s="477" t="str">
        <f t="shared" si="61"/>
        <v>1</v>
      </c>
      <c r="B312" s="96" t="str">
        <f>A312&amp;"pIns5"</f>
        <v>1pIns5</v>
      </c>
      <c r="J312" s="226"/>
      <c r="L312" s="242"/>
      <c r="M312" s="243" t="s">
        <v>1050</v>
      </c>
      <c r="N312" s="243"/>
      <c r="O312" s="243"/>
      <c r="P312" s="243"/>
      <c r="Q312" s="243"/>
      <c r="R312" s="243"/>
      <c r="S312" s="243"/>
      <c r="T312" s="243"/>
      <c r="U312" s="243"/>
      <c r="V312" s="243"/>
      <c r="W312" s="243"/>
      <c r="X312" s="243"/>
      <c r="Y312" s="243"/>
      <c r="Z312" s="243"/>
      <c r="AA312" s="243"/>
      <c r="AB312" s="243"/>
      <c r="AC312" s="243"/>
      <c r="AD312" s="243"/>
      <c r="AE312" s="243"/>
      <c r="AF312" s="243"/>
      <c r="AG312" s="243"/>
      <c r="AH312" s="243"/>
      <c r="AI312" s="243"/>
      <c r="AJ312" s="243"/>
      <c r="AK312" s="243"/>
      <c r="AL312" s="243"/>
      <c r="AM312" s="244"/>
    </row>
    <row r="313" spans="1:39" s="96" customFormat="1" outlineLevel="1">
      <c r="A313" s="477" t="str">
        <f t="shared" si="61"/>
        <v>1</v>
      </c>
      <c r="B313" s="96" t="s">
        <v>1446</v>
      </c>
      <c r="L313" s="202">
        <v>5</v>
      </c>
      <c r="M313" s="459" t="s">
        <v>1293</v>
      </c>
      <c r="N313" s="209" t="s">
        <v>352</v>
      </c>
      <c r="O313" s="205">
        <f>SUMIF(N314:N315,N313,O314:O315)</f>
        <v>0</v>
      </c>
      <c r="P313" s="205">
        <f>SUMIF(N314:N315,N313,P314:P315)</f>
        <v>0</v>
      </c>
      <c r="Q313" s="205">
        <f>SUMIF(N314:N315,N313,Q314:Q315)</f>
        <v>0</v>
      </c>
      <c r="R313" s="205">
        <f>SUMIF(N314:N315,N313,R314:R315)</f>
        <v>0</v>
      </c>
      <c r="S313" s="205">
        <f>SUMIF(N314:N315,N313,S314:S315)</f>
        <v>0</v>
      </c>
      <c r="T313" s="232">
        <f>SUMIF(N314:N315,N313,T314:T315)</f>
        <v>0</v>
      </c>
      <c r="U313" s="232">
        <f>SUMIF(N314:N315,N313,U314:U315)</f>
        <v>0</v>
      </c>
      <c r="V313" s="232">
        <f>SUMIF(N314:N315,N313,V314:V315)</f>
        <v>0</v>
      </c>
      <c r="W313" s="232">
        <f>SUMIF(N314:N315,N313,W314:W315)</f>
        <v>0</v>
      </c>
      <c r="X313" s="232">
        <f>SUMIF(N314:N315,N313,X314:X315)</f>
        <v>0</v>
      </c>
      <c r="Y313" s="232">
        <f>SUMIF(N314:N315,N313,Y314:Y315)</f>
        <v>0</v>
      </c>
      <c r="Z313" s="232">
        <f>SUMIF(N314:N315,N313,Z314:Z315)</f>
        <v>0</v>
      </c>
      <c r="AA313" s="232">
        <f>SUMIF(N314:N315,N313,AA314:AA315)</f>
        <v>0</v>
      </c>
      <c r="AB313" s="232">
        <f>SUMIF(N314:N315,N313,AB314:AB315)</f>
        <v>0</v>
      </c>
      <c r="AC313" s="205">
        <f>SUMIF(N314:N315,N313,AC314:AC315)</f>
        <v>0</v>
      </c>
      <c r="AD313" s="232">
        <f>SUMIF(N314:N315,N313,AD314:AD315)</f>
        <v>0</v>
      </c>
      <c r="AE313" s="232">
        <f>SUMIF(N314:N315,N313,AE314:AE315)</f>
        <v>0</v>
      </c>
      <c r="AF313" s="232">
        <f>SUMIF(N314:N315,N313,AF314:AF315)</f>
        <v>0</v>
      </c>
      <c r="AG313" s="232">
        <f>SUMIF(N314:N315,N313,AG314:AG315)</f>
        <v>0</v>
      </c>
      <c r="AH313" s="232">
        <f>SUMIF(N314:N315,N313,AH314:AH315)</f>
        <v>0</v>
      </c>
      <c r="AI313" s="232">
        <f>SUMIF(N314:N315,N313,AI314:AI315)</f>
        <v>0</v>
      </c>
      <c r="AJ313" s="232">
        <f>SUMIF(N314:N315,N313,AJ314:AJ315)</f>
        <v>0</v>
      </c>
      <c r="AK313" s="232">
        <f>SUMIF(N314:N315,N313,AK314:AK315)</f>
        <v>0</v>
      </c>
      <c r="AL313" s="232">
        <f>SUMIF(N314:N315,N313,AL314:AL315)</f>
        <v>0</v>
      </c>
      <c r="AM313" s="179"/>
    </row>
    <row r="314" spans="1:39" s="96" customFormat="1" ht="0.15" customHeight="1" outlineLevel="1">
      <c r="A314" s="477" t="str">
        <f t="shared" si="61"/>
        <v>1</v>
      </c>
      <c r="J314" s="225" t="s">
        <v>1314</v>
      </c>
      <c r="L314" s="202"/>
      <c r="M314" s="459"/>
      <c r="N314" s="209"/>
      <c r="O314" s="210"/>
      <c r="P314" s="210"/>
      <c r="Q314" s="210"/>
      <c r="R314" s="210"/>
      <c r="S314" s="210"/>
      <c r="T314" s="210"/>
      <c r="U314" s="210"/>
      <c r="V314" s="210"/>
      <c r="W314" s="210"/>
      <c r="X314" s="210"/>
      <c r="Y314" s="210"/>
      <c r="Z314" s="210"/>
      <c r="AA314" s="210"/>
      <c r="AB314" s="210"/>
      <c r="AC314" s="210"/>
      <c r="AD314" s="210"/>
      <c r="AE314" s="210"/>
      <c r="AF314" s="210"/>
      <c r="AG314" s="210"/>
      <c r="AH314" s="210"/>
      <c r="AI314" s="210"/>
      <c r="AJ314" s="210"/>
      <c r="AK314" s="210"/>
      <c r="AL314" s="210"/>
      <c r="AM314" s="228"/>
    </row>
    <row r="315" spans="1:39" s="96" customFormat="1" outlineLevel="1">
      <c r="A315" s="477" t="str">
        <f t="shared" si="61"/>
        <v>1</v>
      </c>
      <c r="B315" s="96" t="str">
        <f>A315&amp;"pIns5"</f>
        <v>1pIns5</v>
      </c>
      <c r="J315" s="425"/>
      <c r="L315" s="242"/>
      <c r="M315" s="243" t="s">
        <v>1050</v>
      </c>
      <c r="N315" s="243"/>
      <c r="O315" s="243"/>
      <c r="P315" s="243"/>
      <c r="Q315" s="243"/>
      <c r="R315" s="243"/>
      <c r="S315" s="243"/>
      <c r="T315" s="243"/>
      <c r="U315" s="243"/>
      <c r="V315" s="243"/>
      <c r="W315" s="243"/>
      <c r="X315" s="243"/>
      <c r="Y315" s="243"/>
      <c r="Z315" s="243"/>
      <c r="AA315" s="243"/>
      <c r="AB315" s="243"/>
      <c r="AC315" s="243"/>
      <c r="AD315" s="243"/>
      <c r="AE315" s="243"/>
      <c r="AF315" s="243"/>
      <c r="AG315" s="243"/>
      <c r="AH315" s="243"/>
      <c r="AI315" s="243"/>
      <c r="AJ315" s="243"/>
      <c r="AK315" s="243"/>
      <c r="AL315" s="243"/>
      <c r="AM315" s="244"/>
    </row>
    <row r="316" spans="1:39" s="97" customFormat="1" outlineLevel="1">
      <c r="A316" s="477" t="str">
        <f>A312</f>
        <v>1</v>
      </c>
      <c r="B316" s="96" t="s">
        <v>1448</v>
      </c>
      <c r="L316" s="202">
        <v>6</v>
      </c>
      <c r="M316" s="459" t="s">
        <v>408</v>
      </c>
      <c r="N316" s="209" t="s">
        <v>352</v>
      </c>
      <c r="O316" s="232"/>
      <c r="P316" s="232"/>
      <c r="Q316" s="232"/>
      <c r="R316" s="232"/>
      <c r="S316" s="232"/>
      <c r="T316" s="232"/>
      <c r="U316" s="232"/>
      <c r="V316" s="232"/>
      <c r="W316" s="232"/>
      <c r="X316" s="232"/>
      <c r="Y316" s="232"/>
      <c r="Z316" s="232"/>
      <c r="AA316" s="232"/>
      <c r="AB316" s="232"/>
      <c r="AC316" s="232"/>
      <c r="AD316" s="232"/>
      <c r="AE316" s="232"/>
      <c r="AF316" s="232"/>
      <c r="AG316" s="232"/>
      <c r="AH316" s="232"/>
      <c r="AI316" s="232"/>
      <c r="AJ316" s="232"/>
      <c r="AK316" s="232"/>
      <c r="AL316" s="232"/>
      <c r="AM316" s="179"/>
    </row>
    <row r="317" spans="1:39" s="97" customFormat="1" outlineLevel="1">
      <c r="A317" s="477" t="str">
        <f t="shared" si="61"/>
        <v>1</v>
      </c>
      <c r="B317" s="96" t="s">
        <v>1450</v>
      </c>
      <c r="L317" s="202">
        <v>7</v>
      </c>
      <c r="M317" s="459" t="s">
        <v>409</v>
      </c>
      <c r="N317" s="209" t="s">
        <v>352</v>
      </c>
      <c r="O317" s="232"/>
      <c r="P317" s="232"/>
      <c r="Q317" s="232"/>
      <c r="R317" s="232"/>
      <c r="S317" s="232"/>
      <c r="T317" s="232"/>
      <c r="U317" s="232"/>
      <c r="V317" s="232"/>
      <c r="W317" s="232"/>
      <c r="X317" s="232"/>
      <c r="Y317" s="232"/>
      <c r="Z317" s="232"/>
      <c r="AA317" s="232"/>
      <c r="AB317" s="232"/>
      <c r="AC317" s="232"/>
      <c r="AD317" s="232"/>
      <c r="AE317" s="232"/>
      <c r="AF317" s="232"/>
      <c r="AG317" s="232"/>
      <c r="AH317" s="232"/>
      <c r="AI317" s="232"/>
      <c r="AJ317" s="232"/>
      <c r="AK317" s="232"/>
      <c r="AL317" s="232"/>
      <c r="AM317" s="179"/>
    </row>
    <row r="318" spans="1:39" s="97" customFormat="1" outlineLevel="1">
      <c r="A318" s="477" t="str">
        <f t="shared" si="61"/>
        <v>1</v>
      </c>
      <c r="B318" s="96" t="s">
        <v>1452</v>
      </c>
      <c r="L318" s="202">
        <v>8</v>
      </c>
      <c r="M318" s="459" t="s">
        <v>410</v>
      </c>
      <c r="N318" s="209" t="s">
        <v>352</v>
      </c>
      <c r="O318" s="232"/>
      <c r="P318" s="232"/>
      <c r="Q318" s="232"/>
      <c r="R318" s="232"/>
      <c r="S318" s="232"/>
      <c r="T318" s="232"/>
      <c r="U318" s="232"/>
      <c r="V318" s="232"/>
      <c r="W318" s="232"/>
      <c r="X318" s="232"/>
      <c r="Y318" s="232"/>
      <c r="Z318" s="232"/>
      <c r="AA318" s="232"/>
      <c r="AB318" s="232"/>
      <c r="AC318" s="232"/>
      <c r="AD318" s="232"/>
      <c r="AE318" s="232"/>
      <c r="AF318" s="232"/>
      <c r="AG318" s="232"/>
      <c r="AH318" s="232"/>
      <c r="AI318" s="232"/>
      <c r="AJ318" s="232"/>
      <c r="AK318" s="232"/>
      <c r="AL318" s="232"/>
      <c r="AM318" s="179"/>
    </row>
    <row r="319" spans="1:39">
      <c r="A319" s="134" t="s">
        <v>1053</v>
      </c>
      <c r="B319" s="484"/>
      <c r="C319" s="484"/>
    </row>
    <row r="320" spans="1:39" s="96" customFormat="1" ht="11.25" customHeight="1" outlineLevel="1">
      <c r="A320" s="145" t="str">
        <f ca="1">OFFSET(A320,-1,0)</f>
        <v>et_List09_org1</v>
      </c>
      <c r="B320" s="96" t="s">
        <v>1406</v>
      </c>
      <c r="C320" s="98">
        <f>M320</f>
        <v>0</v>
      </c>
      <c r="J320" s="1152" t="s">
        <v>149</v>
      </c>
      <c r="K320" s="135" t="s">
        <v>265</v>
      </c>
      <c r="L320" s="229" t="str">
        <f>J320</f>
        <v>1.1</v>
      </c>
      <c r="M320" s="320"/>
      <c r="N320" s="209" t="s">
        <v>352</v>
      </c>
      <c r="O320" s="208"/>
      <c r="P320" s="208"/>
      <c r="Q320" s="208"/>
      <c r="R320" s="208"/>
      <c r="S320" s="208"/>
      <c r="T320" s="208"/>
      <c r="U320" s="208"/>
      <c r="V320" s="208"/>
      <c r="W320" s="208"/>
      <c r="X320" s="208"/>
      <c r="Y320" s="208"/>
      <c r="Z320" s="208"/>
      <c r="AA320" s="208"/>
      <c r="AB320" s="208"/>
      <c r="AC320" s="208"/>
      <c r="AD320" s="208"/>
      <c r="AE320" s="208"/>
      <c r="AF320" s="208"/>
      <c r="AG320" s="208"/>
      <c r="AH320" s="208"/>
      <c r="AI320" s="208"/>
      <c r="AJ320" s="208"/>
      <c r="AK320" s="208"/>
      <c r="AL320" s="208"/>
      <c r="AM320" s="179"/>
    </row>
    <row r="321" spans="1:39" s="96" customFormat="1" ht="11.25" customHeight="1" outlineLevel="1">
      <c r="A321" s="477" t="str">
        <f ca="1">A320</f>
        <v>et_List09_org1</v>
      </c>
      <c r="B321" s="96" t="s">
        <v>1407</v>
      </c>
      <c r="C321" s="98">
        <f>C320</f>
        <v>0</v>
      </c>
      <c r="J321" s="1152"/>
      <c r="L321" s="230" t="str">
        <f>L320&amp;".1"</f>
        <v>1.1.1</v>
      </c>
      <c r="M321" s="231" t="s">
        <v>1146</v>
      </c>
      <c r="N321" s="204" t="s">
        <v>311</v>
      </c>
      <c r="O321" s="208"/>
      <c r="P321" s="208"/>
      <c r="Q321" s="208"/>
      <c r="R321" s="208"/>
      <c r="S321" s="208"/>
      <c r="T321" s="208"/>
      <c r="U321" s="208"/>
      <c r="V321" s="208"/>
      <c r="W321" s="208"/>
      <c r="X321" s="208"/>
      <c r="Y321" s="208"/>
      <c r="Z321" s="208"/>
      <c r="AA321" s="208"/>
      <c r="AB321" s="208"/>
      <c r="AC321" s="208"/>
      <c r="AD321" s="208"/>
      <c r="AE321" s="208"/>
      <c r="AF321" s="208"/>
      <c r="AG321" s="208"/>
      <c r="AH321" s="208"/>
      <c r="AI321" s="208"/>
      <c r="AJ321" s="208"/>
      <c r="AK321" s="208"/>
      <c r="AL321" s="208"/>
      <c r="AM321" s="179"/>
    </row>
    <row r="322" spans="1:39" s="96" customFormat="1" ht="11.25" customHeight="1" outlineLevel="1">
      <c r="A322" s="477" t="str">
        <f ca="1">A321</f>
        <v>et_List09_org1</v>
      </c>
      <c r="B322" s="96" t="s">
        <v>1408</v>
      </c>
      <c r="C322" s="98">
        <f>C321</f>
        <v>0</v>
      </c>
      <c r="J322" s="1152"/>
      <c r="L322" s="230" t="str">
        <f>L320&amp;".2"</f>
        <v>1.1.2</v>
      </c>
      <c r="M322" s="231" t="s">
        <v>401</v>
      </c>
      <c r="N322" s="204" t="s">
        <v>655</v>
      </c>
      <c r="O322" s="476">
        <f t="shared" ref="O322:AL322" si="62">IF(OR(AND(O320&lt;&gt;0,O321=0),AND(O320=0,O321&lt;&gt;0)),"Ошибка",IF(O321=0,0,O320/O321))</f>
        <v>0</v>
      </c>
      <c r="P322" s="476">
        <f t="shared" si="62"/>
        <v>0</v>
      </c>
      <c r="Q322" s="476">
        <f t="shared" si="62"/>
        <v>0</v>
      </c>
      <c r="R322" s="476">
        <f t="shared" si="62"/>
        <v>0</v>
      </c>
      <c r="S322" s="476">
        <f t="shared" si="62"/>
        <v>0</v>
      </c>
      <c r="T322" s="476">
        <f t="shared" si="62"/>
        <v>0</v>
      </c>
      <c r="U322" s="476">
        <f t="shared" si="62"/>
        <v>0</v>
      </c>
      <c r="V322" s="476">
        <f t="shared" si="62"/>
        <v>0</v>
      </c>
      <c r="W322" s="476">
        <f t="shared" si="62"/>
        <v>0</v>
      </c>
      <c r="X322" s="476">
        <f t="shared" si="62"/>
        <v>0</v>
      </c>
      <c r="Y322" s="476">
        <f t="shared" si="62"/>
        <v>0</v>
      </c>
      <c r="Z322" s="476">
        <f t="shared" si="62"/>
        <v>0</v>
      </c>
      <c r="AA322" s="476">
        <f t="shared" si="62"/>
        <v>0</v>
      </c>
      <c r="AB322" s="476">
        <f t="shared" si="62"/>
        <v>0</v>
      </c>
      <c r="AC322" s="476">
        <f t="shared" si="62"/>
        <v>0</v>
      </c>
      <c r="AD322" s="476">
        <f t="shared" si="62"/>
        <v>0</v>
      </c>
      <c r="AE322" s="476">
        <f t="shared" si="62"/>
        <v>0</v>
      </c>
      <c r="AF322" s="476">
        <f t="shared" si="62"/>
        <v>0</v>
      </c>
      <c r="AG322" s="476">
        <f t="shared" si="62"/>
        <v>0</v>
      </c>
      <c r="AH322" s="476">
        <f t="shared" si="62"/>
        <v>0</v>
      </c>
      <c r="AI322" s="476">
        <f t="shared" si="62"/>
        <v>0</v>
      </c>
      <c r="AJ322" s="476">
        <f t="shared" si="62"/>
        <v>0</v>
      </c>
      <c r="AK322" s="476">
        <f t="shared" si="62"/>
        <v>0</v>
      </c>
      <c r="AL322" s="476">
        <f t="shared" si="62"/>
        <v>0</v>
      </c>
      <c r="AM322" s="179"/>
    </row>
    <row r="323" spans="1:39">
      <c r="A323" s="134" t="s">
        <v>1054</v>
      </c>
      <c r="B323" s="484"/>
      <c r="C323" s="576"/>
    </row>
    <row r="324" spans="1:39" s="96" customFormat="1" ht="11.25" customHeight="1" outlineLevel="1">
      <c r="A324" s="145" t="str">
        <f ca="1">OFFSET(A324,-1,0)</f>
        <v>et_List09_org2</v>
      </c>
      <c r="B324" s="96" t="s">
        <v>1438</v>
      </c>
      <c r="C324" s="98">
        <f>M324</f>
        <v>0</v>
      </c>
      <c r="J324" s="1152" t="s">
        <v>17</v>
      </c>
      <c r="K324" s="135" t="s">
        <v>265</v>
      </c>
      <c r="L324" s="229" t="str">
        <f>J324</f>
        <v>2.1</v>
      </c>
      <c r="M324" s="320"/>
      <c r="N324" s="209" t="s">
        <v>352</v>
      </c>
      <c r="O324" s="208"/>
      <c r="P324" s="208"/>
      <c r="Q324" s="208"/>
      <c r="R324" s="208"/>
      <c r="S324" s="208"/>
      <c r="T324" s="208"/>
      <c r="U324" s="208"/>
      <c r="V324" s="208"/>
      <c r="W324" s="208"/>
      <c r="X324" s="208"/>
      <c r="Y324" s="208"/>
      <c r="Z324" s="208"/>
      <c r="AA324" s="208"/>
      <c r="AB324" s="208"/>
      <c r="AC324" s="208"/>
      <c r="AD324" s="208"/>
      <c r="AE324" s="208"/>
      <c r="AF324" s="208"/>
      <c r="AG324" s="208"/>
      <c r="AH324" s="208"/>
      <c r="AI324" s="208"/>
      <c r="AJ324" s="208"/>
      <c r="AK324" s="208"/>
      <c r="AL324" s="208"/>
      <c r="AM324" s="179"/>
    </row>
    <row r="325" spans="1:39" s="96" customFormat="1" ht="11.25" customHeight="1" outlineLevel="1">
      <c r="A325" s="477" t="str">
        <f ca="1">A324</f>
        <v>et_List09_org2</v>
      </c>
      <c r="B325" s="96" t="s">
        <v>1439</v>
      </c>
      <c r="C325" s="98">
        <f>C324</f>
        <v>0</v>
      </c>
      <c r="J325" s="1152"/>
      <c r="L325" s="230" t="str">
        <f>L324&amp;".1"</f>
        <v>2.1.1</v>
      </c>
      <c r="M325" s="231" t="s">
        <v>1147</v>
      </c>
      <c r="N325" s="204" t="s">
        <v>311</v>
      </c>
      <c r="O325" s="208"/>
      <c r="P325" s="208"/>
      <c r="Q325" s="208"/>
      <c r="R325" s="208"/>
      <c r="S325" s="208"/>
      <c r="T325" s="208"/>
      <c r="U325" s="208"/>
      <c r="V325" s="208"/>
      <c r="W325" s="208"/>
      <c r="X325" s="208"/>
      <c r="Y325" s="208"/>
      <c r="Z325" s="208"/>
      <c r="AA325" s="208"/>
      <c r="AB325" s="208"/>
      <c r="AC325" s="208"/>
      <c r="AD325" s="208"/>
      <c r="AE325" s="208"/>
      <c r="AF325" s="208"/>
      <c r="AG325" s="208"/>
      <c r="AH325" s="208"/>
      <c r="AI325" s="208"/>
      <c r="AJ325" s="208"/>
      <c r="AK325" s="208"/>
      <c r="AL325" s="208"/>
      <c r="AM325" s="179"/>
    </row>
    <row r="326" spans="1:39" s="96" customFormat="1" ht="11.25" customHeight="1" outlineLevel="1">
      <c r="A326" s="477" t="str">
        <f ca="1">A325</f>
        <v>et_List09_org2</v>
      </c>
      <c r="B326" s="96" t="s">
        <v>1576</v>
      </c>
      <c r="C326" s="98">
        <f>C325</f>
        <v>0</v>
      </c>
      <c r="J326" s="1152"/>
      <c r="L326" s="230" t="str">
        <f>L324&amp;".2"</f>
        <v>2.1.2</v>
      </c>
      <c r="M326" s="231" t="s">
        <v>403</v>
      </c>
      <c r="N326" s="204" t="s">
        <v>655</v>
      </c>
      <c r="O326" s="476">
        <f t="shared" ref="O326:AL326" si="63">IF(OR(AND(O324&lt;&gt;0,O325=0),AND(O324=0,O325&lt;&gt;0)),"Ошибка",IF(O325=0,0,O324/O325))</f>
        <v>0</v>
      </c>
      <c r="P326" s="476">
        <f t="shared" si="63"/>
        <v>0</v>
      </c>
      <c r="Q326" s="476">
        <f t="shared" si="63"/>
        <v>0</v>
      </c>
      <c r="R326" s="476">
        <f t="shared" si="63"/>
        <v>0</v>
      </c>
      <c r="S326" s="476">
        <f t="shared" si="63"/>
        <v>0</v>
      </c>
      <c r="T326" s="476">
        <f t="shared" si="63"/>
        <v>0</v>
      </c>
      <c r="U326" s="476">
        <f t="shared" si="63"/>
        <v>0</v>
      </c>
      <c r="V326" s="476">
        <f t="shared" si="63"/>
        <v>0</v>
      </c>
      <c r="W326" s="476">
        <f t="shared" si="63"/>
        <v>0</v>
      </c>
      <c r="X326" s="476">
        <f t="shared" si="63"/>
        <v>0</v>
      </c>
      <c r="Y326" s="476">
        <f t="shared" si="63"/>
        <v>0</v>
      </c>
      <c r="Z326" s="476">
        <f t="shared" si="63"/>
        <v>0</v>
      </c>
      <c r="AA326" s="476">
        <f t="shared" si="63"/>
        <v>0</v>
      </c>
      <c r="AB326" s="476">
        <f t="shared" si="63"/>
        <v>0</v>
      </c>
      <c r="AC326" s="476">
        <f t="shared" si="63"/>
        <v>0</v>
      </c>
      <c r="AD326" s="476">
        <f t="shared" si="63"/>
        <v>0</v>
      </c>
      <c r="AE326" s="476">
        <f t="shared" si="63"/>
        <v>0</v>
      </c>
      <c r="AF326" s="476">
        <f t="shared" si="63"/>
        <v>0</v>
      </c>
      <c r="AG326" s="476">
        <f t="shared" si="63"/>
        <v>0</v>
      </c>
      <c r="AH326" s="476">
        <f t="shared" si="63"/>
        <v>0</v>
      </c>
      <c r="AI326" s="476">
        <f t="shared" si="63"/>
        <v>0</v>
      </c>
      <c r="AJ326" s="476">
        <f t="shared" si="63"/>
        <v>0</v>
      </c>
      <c r="AK326" s="476">
        <f t="shared" si="63"/>
        <v>0</v>
      </c>
      <c r="AL326" s="476">
        <f t="shared" si="63"/>
        <v>0</v>
      </c>
      <c r="AM326" s="179"/>
    </row>
    <row r="327" spans="1:39">
      <c r="A327" s="134" t="s">
        <v>1055</v>
      </c>
      <c r="B327" s="484"/>
      <c r="C327" s="576"/>
    </row>
    <row r="328" spans="1:39" s="96" customFormat="1" ht="11.25" customHeight="1" outlineLevel="1">
      <c r="A328" s="145" t="str">
        <f ca="1">OFFSET(A328,-1,0)</f>
        <v>et_List09_org3</v>
      </c>
      <c r="B328" s="96" t="s">
        <v>1442</v>
      </c>
      <c r="C328" s="98">
        <f>M328</f>
        <v>0</v>
      </c>
      <c r="J328" s="1152" t="s">
        <v>154</v>
      </c>
      <c r="K328" s="135" t="s">
        <v>265</v>
      </c>
      <c r="L328" s="229" t="str">
        <f>J328</f>
        <v>3.1</v>
      </c>
      <c r="M328" s="320"/>
      <c r="N328" s="209" t="s">
        <v>352</v>
      </c>
      <c r="O328" s="208"/>
      <c r="P328" s="208"/>
      <c r="Q328" s="208"/>
      <c r="R328" s="208"/>
      <c r="S328" s="208"/>
      <c r="T328" s="208"/>
      <c r="U328" s="208"/>
      <c r="V328" s="208"/>
      <c r="W328" s="208"/>
      <c r="X328" s="208"/>
      <c r="Y328" s="208"/>
      <c r="Z328" s="208"/>
      <c r="AA328" s="208"/>
      <c r="AB328" s="208"/>
      <c r="AC328" s="208"/>
      <c r="AD328" s="208"/>
      <c r="AE328" s="208"/>
      <c r="AF328" s="208"/>
      <c r="AG328" s="208"/>
      <c r="AH328" s="208"/>
      <c r="AI328" s="208"/>
      <c r="AJ328" s="208"/>
      <c r="AK328" s="208"/>
      <c r="AL328" s="208"/>
      <c r="AM328" s="179"/>
    </row>
    <row r="329" spans="1:39" s="96" customFormat="1" ht="11.25" customHeight="1" outlineLevel="1">
      <c r="A329" s="477" t="str">
        <f ca="1">A328</f>
        <v>et_List09_org3</v>
      </c>
      <c r="B329" s="96" t="s">
        <v>1632</v>
      </c>
      <c r="C329" s="98">
        <f>C328</f>
        <v>0</v>
      </c>
      <c r="J329" s="1152"/>
      <c r="L329" s="230" t="str">
        <f>L328&amp;".1"</f>
        <v>3.1.1</v>
      </c>
      <c r="M329" s="231" t="s">
        <v>1148</v>
      </c>
      <c r="N329" s="204" t="s">
        <v>311</v>
      </c>
      <c r="O329" s="208"/>
      <c r="P329" s="208"/>
      <c r="Q329" s="208"/>
      <c r="R329" s="208"/>
      <c r="S329" s="208"/>
      <c r="T329" s="208"/>
      <c r="U329" s="208"/>
      <c r="V329" s="208"/>
      <c r="W329" s="208"/>
      <c r="X329" s="208"/>
      <c r="Y329" s="208"/>
      <c r="Z329" s="208"/>
      <c r="AA329" s="208"/>
      <c r="AB329" s="208"/>
      <c r="AC329" s="208"/>
      <c r="AD329" s="208"/>
      <c r="AE329" s="208"/>
      <c r="AF329" s="208"/>
      <c r="AG329" s="208"/>
      <c r="AH329" s="208"/>
      <c r="AI329" s="208"/>
      <c r="AJ329" s="208"/>
      <c r="AK329" s="208"/>
      <c r="AL329" s="208"/>
      <c r="AM329" s="179"/>
    </row>
    <row r="330" spans="1:39" s="96" customFormat="1" ht="11.25" customHeight="1" outlineLevel="1">
      <c r="A330" s="477" t="str">
        <f ca="1">A329</f>
        <v>et_List09_org3</v>
      </c>
      <c r="B330" s="96" t="s">
        <v>1633</v>
      </c>
      <c r="C330" s="98">
        <f>C329</f>
        <v>0</v>
      </c>
      <c r="J330" s="1152"/>
      <c r="L330" s="230" t="str">
        <f>L328&amp;".2"</f>
        <v>3.1.2</v>
      </c>
      <c r="M330" s="231" t="s">
        <v>405</v>
      </c>
      <c r="N330" s="204" t="s">
        <v>655</v>
      </c>
      <c r="O330" s="476">
        <f t="shared" ref="O330:AL330" si="64">IF(OR(AND(O328&lt;&gt;0,O329=0),AND(O328=0,O329&lt;&gt;0)),"Ошибка",IF(O329=0,0,O328/O329))</f>
        <v>0</v>
      </c>
      <c r="P330" s="476">
        <f t="shared" si="64"/>
        <v>0</v>
      </c>
      <c r="Q330" s="476">
        <f t="shared" si="64"/>
        <v>0</v>
      </c>
      <c r="R330" s="476">
        <f t="shared" si="64"/>
        <v>0</v>
      </c>
      <c r="S330" s="476">
        <f t="shared" si="64"/>
        <v>0</v>
      </c>
      <c r="T330" s="476">
        <f t="shared" si="64"/>
        <v>0</v>
      </c>
      <c r="U330" s="476">
        <f t="shared" si="64"/>
        <v>0</v>
      </c>
      <c r="V330" s="476">
        <f t="shared" si="64"/>
        <v>0</v>
      </c>
      <c r="W330" s="476">
        <f t="shared" si="64"/>
        <v>0</v>
      </c>
      <c r="X330" s="476">
        <f t="shared" si="64"/>
        <v>0</v>
      </c>
      <c r="Y330" s="476">
        <f t="shared" si="64"/>
        <v>0</v>
      </c>
      <c r="Z330" s="476">
        <f t="shared" si="64"/>
        <v>0</v>
      </c>
      <c r="AA330" s="476">
        <f t="shared" si="64"/>
        <v>0</v>
      </c>
      <c r="AB330" s="476">
        <f t="shared" si="64"/>
        <v>0</v>
      </c>
      <c r="AC330" s="476">
        <f t="shared" si="64"/>
        <v>0</v>
      </c>
      <c r="AD330" s="476">
        <f t="shared" si="64"/>
        <v>0</v>
      </c>
      <c r="AE330" s="476">
        <f t="shared" si="64"/>
        <v>0</v>
      </c>
      <c r="AF330" s="476">
        <f t="shared" si="64"/>
        <v>0</v>
      </c>
      <c r="AG330" s="476">
        <f t="shared" si="64"/>
        <v>0</v>
      </c>
      <c r="AH330" s="476">
        <f t="shared" si="64"/>
        <v>0</v>
      </c>
      <c r="AI330" s="476">
        <f t="shared" si="64"/>
        <v>0</v>
      </c>
      <c r="AJ330" s="476">
        <f t="shared" si="64"/>
        <v>0</v>
      </c>
      <c r="AK330" s="476">
        <f t="shared" si="64"/>
        <v>0</v>
      </c>
      <c r="AL330" s="476">
        <f t="shared" si="64"/>
        <v>0</v>
      </c>
      <c r="AM330" s="179"/>
    </row>
    <row r="331" spans="1:39">
      <c r="A331" s="134" t="s">
        <v>1056</v>
      </c>
      <c r="B331" s="484"/>
      <c r="C331" s="576"/>
    </row>
    <row r="332" spans="1:39" s="96" customFormat="1" ht="11.25" customHeight="1" outlineLevel="1">
      <c r="A332" s="145" t="str">
        <f ca="1">OFFSET(A332,-1,0)</f>
        <v>et_List09_org4</v>
      </c>
      <c r="B332" s="96" t="s">
        <v>1444</v>
      </c>
      <c r="C332" s="98">
        <f>M332</f>
        <v>0</v>
      </c>
      <c r="J332" s="1152" t="s">
        <v>140</v>
      </c>
      <c r="K332" s="135" t="s">
        <v>265</v>
      </c>
      <c r="L332" s="229" t="str">
        <f>J332</f>
        <v>4.1</v>
      </c>
      <c r="M332" s="320"/>
      <c r="N332" s="209" t="s">
        <v>352</v>
      </c>
      <c r="O332" s="208"/>
      <c r="P332" s="208"/>
      <c r="Q332" s="208"/>
      <c r="R332" s="208"/>
      <c r="S332" s="208"/>
      <c r="T332" s="208"/>
      <c r="U332" s="208"/>
      <c r="V332" s="208"/>
      <c r="W332" s="208"/>
      <c r="X332" s="208"/>
      <c r="Y332" s="208"/>
      <c r="Z332" s="208"/>
      <c r="AA332" s="208"/>
      <c r="AB332" s="208"/>
      <c r="AC332" s="208"/>
      <c r="AD332" s="208"/>
      <c r="AE332" s="208"/>
      <c r="AF332" s="208"/>
      <c r="AG332" s="208"/>
      <c r="AH332" s="208"/>
      <c r="AI332" s="208"/>
      <c r="AJ332" s="208"/>
      <c r="AK332" s="208"/>
      <c r="AL332" s="208"/>
      <c r="AM332" s="179"/>
    </row>
    <row r="333" spans="1:39" s="96" customFormat="1" ht="11.25" customHeight="1" outlineLevel="1">
      <c r="A333" s="477" t="str">
        <f ca="1">A332</f>
        <v>et_List09_org4</v>
      </c>
      <c r="B333" s="96" t="s">
        <v>1598</v>
      </c>
      <c r="C333" s="98">
        <f>C332</f>
        <v>0</v>
      </c>
      <c r="J333" s="1152"/>
      <c r="L333" s="230" t="str">
        <f>L332&amp;".1"</f>
        <v>4.1.1</v>
      </c>
      <c r="M333" s="231" t="s">
        <v>1149</v>
      </c>
      <c r="N333" s="204" t="s">
        <v>311</v>
      </c>
      <c r="O333" s="208"/>
      <c r="P333" s="208"/>
      <c r="Q333" s="208"/>
      <c r="R333" s="208"/>
      <c r="S333" s="208"/>
      <c r="T333" s="208"/>
      <c r="U333" s="208"/>
      <c r="V333" s="208"/>
      <c r="W333" s="208"/>
      <c r="X333" s="208"/>
      <c r="Y333" s="208"/>
      <c r="Z333" s="208"/>
      <c r="AA333" s="208"/>
      <c r="AB333" s="208"/>
      <c r="AC333" s="208"/>
      <c r="AD333" s="208"/>
      <c r="AE333" s="208"/>
      <c r="AF333" s="208"/>
      <c r="AG333" s="208"/>
      <c r="AH333" s="208"/>
      <c r="AI333" s="208"/>
      <c r="AJ333" s="208"/>
      <c r="AK333" s="208"/>
      <c r="AL333" s="208"/>
      <c r="AM333" s="179"/>
    </row>
    <row r="334" spans="1:39" s="96" customFormat="1" ht="11.25" customHeight="1" outlineLevel="1">
      <c r="A334" s="477" t="str">
        <f ca="1">A333</f>
        <v>et_List09_org4</v>
      </c>
      <c r="B334" s="96" t="s">
        <v>1619</v>
      </c>
      <c r="C334" s="98">
        <f>C333</f>
        <v>0</v>
      </c>
      <c r="J334" s="1152"/>
      <c r="L334" s="230" t="str">
        <f>L332&amp;".2"</f>
        <v>4.1.2</v>
      </c>
      <c r="M334" s="231" t="s">
        <v>1097</v>
      </c>
      <c r="N334" s="204" t="s">
        <v>655</v>
      </c>
      <c r="O334" s="476">
        <f t="shared" ref="O334:AL334" si="65">IF(OR(AND(O332&lt;&gt;0,O333=0),AND(O332=0,O333&lt;&gt;0)),"Ошибка",IF(O333=0,0,O332/O333))</f>
        <v>0</v>
      </c>
      <c r="P334" s="476">
        <f t="shared" si="65"/>
        <v>0</v>
      </c>
      <c r="Q334" s="476">
        <f t="shared" si="65"/>
        <v>0</v>
      </c>
      <c r="R334" s="476">
        <f t="shared" si="65"/>
        <v>0</v>
      </c>
      <c r="S334" s="476">
        <f t="shared" si="65"/>
        <v>0</v>
      </c>
      <c r="T334" s="476">
        <f t="shared" si="65"/>
        <v>0</v>
      </c>
      <c r="U334" s="476">
        <f t="shared" si="65"/>
        <v>0</v>
      </c>
      <c r="V334" s="476">
        <f t="shared" si="65"/>
        <v>0</v>
      </c>
      <c r="W334" s="476">
        <f t="shared" si="65"/>
        <v>0</v>
      </c>
      <c r="X334" s="476">
        <f t="shared" si="65"/>
        <v>0</v>
      </c>
      <c r="Y334" s="476">
        <f t="shared" si="65"/>
        <v>0</v>
      </c>
      <c r="Z334" s="476">
        <f t="shared" si="65"/>
        <v>0</v>
      </c>
      <c r="AA334" s="476">
        <f t="shared" si="65"/>
        <v>0</v>
      </c>
      <c r="AB334" s="476">
        <f t="shared" si="65"/>
        <v>0</v>
      </c>
      <c r="AC334" s="476">
        <f t="shared" si="65"/>
        <v>0</v>
      </c>
      <c r="AD334" s="476">
        <f t="shared" si="65"/>
        <v>0</v>
      </c>
      <c r="AE334" s="476">
        <f t="shared" si="65"/>
        <v>0</v>
      </c>
      <c r="AF334" s="476">
        <f t="shared" si="65"/>
        <v>0</v>
      </c>
      <c r="AG334" s="476">
        <f t="shared" si="65"/>
        <v>0</v>
      </c>
      <c r="AH334" s="476">
        <f t="shared" si="65"/>
        <v>0</v>
      </c>
      <c r="AI334" s="476">
        <f t="shared" si="65"/>
        <v>0</v>
      </c>
      <c r="AJ334" s="476">
        <f t="shared" si="65"/>
        <v>0</v>
      </c>
      <c r="AK334" s="476">
        <f t="shared" si="65"/>
        <v>0</v>
      </c>
      <c r="AL334" s="476">
        <f t="shared" si="65"/>
        <v>0</v>
      </c>
      <c r="AM334" s="179"/>
    </row>
    <row r="335" spans="1:39">
      <c r="A335" s="134" t="s">
        <v>1313</v>
      </c>
      <c r="B335" s="484"/>
      <c r="C335" s="576"/>
    </row>
    <row r="336" spans="1:39" s="96" customFormat="1" ht="11.25" customHeight="1" outlineLevel="1">
      <c r="A336" s="145" t="str">
        <f ca="1">OFFSET(A336,-1,0)</f>
        <v>et_List09_org5</v>
      </c>
      <c r="B336" s="96" t="s">
        <v>1446</v>
      </c>
      <c r="C336" s="98">
        <f>M336</f>
        <v>0</v>
      </c>
      <c r="J336" s="1152" t="s">
        <v>122</v>
      </c>
      <c r="K336" s="135" t="s">
        <v>265</v>
      </c>
      <c r="L336" s="229" t="str">
        <f>J336</f>
        <v>5.1</v>
      </c>
      <c r="M336" s="320"/>
      <c r="N336" s="209" t="s">
        <v>352</v>
      </c>
      <c r="O336" s="208"/>
      <c r="P336" s="208"/>
      <c r="Q336" s="208"/>
      <c r="R336" s="208"/>
      <c r="S336" s="208"/>
      <c r="T336" s="208"/>
      <c r="U336" s="208"/>
      <c r="V336" s="208"/>
      <c r="W336" s="208"/>
      <c r="X336" s="208"/>
      <c r="Y336" s="208"/>
      <c r="Z336" s="208"/>
      <c r="AA336" s="208"/>
      <c r="AB336" s="208"/>
      <c r="AC336" s="208"/>
      <c r="AD336" s="208"/>
      <c r="AE336" s="208"/>
      <c r="AF336" s="208"/>
      <c r="AG336" s="208"/>
      <c r="AH336" s="208"/>
      <c r="AI336" s="208"/>
      <c r="AJ336" s="208"/>
      <c r="AK336" s="208"/>
      <c r="AL336" s="208"/>
      <c r="AM336" s="179"/>
    </row>
    <row r="337" spans="1:39" s="96" customFormat="1" ht="11.25" customHeight="1" outlineLevel="1">
      <c r="A337" s="477" t="str">
        <f ca="1">A336</f>
        <v>et_List09_org5</v>
      </c>
      <c r="B337" s="96" t="s">
        <v>1599</v>
      </c>
      <c r="C337" s="98">
        <f>C336</f>
        <v>0</v>
      </c>
      <c r="J337" s="1152"/>
      <c r="L337" s="230" t="str">
        <f>L336&amp;".1"</f>
        <v>5.1.1</v>
      </c>
      <c r="M337" s="231" t="s">
        <v>1315</v>
      </c>
      <c r="N337" s="204" t="s">
        <v>311</v>
      </c>
      <c r="O337" s="208"/>
      <c r="P337" s="208"/>
      <c r="Q337" s="208"/>
      <c r="R337" s="208"/>
      <c r="S337" s="208"/>
      <c r="T337" s="208"/>
      <c r="U337" s="208"/>
      <c r="V337" s="208"/>
      <c r="W337" s="208"/>
      <c r="X337" s="208"/>
      <c r="Y337" s="208"/>
      <c r="Z337" s="208"/>
      <c r="AA337" s="208"/>
      <c r="AB337" s="208"/>
      <c r="AC337" s="208"/>
      <c r="AD337" s="208"/>
      <c r="AE337" s="208"/>
      <c r="AF337" s="208"/>
      <c r="AG337" s="208"/>
      <c r="AH337" s="208"/>
      <c r="AI337" s="208"/>
      <c r="AJ337" s="208"/>
      <c r="AK337" s="208"/>
      <c r="AL337" s="208"/>
      <c r="AM337" s="179"/>
    </row>
    <row r="338" spans="1:39" s="96" customFormat="1" ht="11.25" customHeight="1" outlineLevel="1">
      <c r="A338" s="477" t="str">
        <f ca="1">A337</f>
        <v>et_List09_org5</v>
      </c>
      <c r="B338" s="96" t="s">
        <v>1600</v>
      </c>
      <c r="C338" s="98">
        <f>C337</f>
        <v>0</v>
      </c>
      <c r="J338" s="1152"/>
      <c r="L338" s="230" t="str">
        <f>L336&amp;".2"</f>
        <v>5.1.2</v>
      </c>
      <c r="M338" s="231" t="s">
        <v>1316</v>
      </c>
      <c r="N338" s="204" t="s">
        <v>655</v>
      </c>
      <c r="O338" s="476">
        <f t="shared" ref="O338:AL338" si="66">IF(OR(AND(O336&lt;&gt;0,O337=0),AND(O336=0,O337&lt;&gt;0)),"Ошибка",IF(O337=0,0,O336/O337))</f>
        <v>0</v>
      </c>
      <c r="P338" s="476">
        <f t="shared" si="66"/>
        <v>0</v>
      </c>
      <c r="Q338" s="476">
        <f t="shared" si="66"/>
        <v>0</v>
      </c>
      <c r="R338" s="476">
        <f t="shared" si="66"/>
        <v>0</v>
      </c>
      <c r="S338" s="476">
        <f t="shared" si="66"/>
        <v>0</v>
      </c>
      <c r="T338" s="476">
        <f t="shared" si="66"/>
        <v>0</v>
      </c>
      <c r="U338" s="476">
        <f t="shared" si="66"/>
        <v>0</v>
      </c>
      <c r="V338" s="476">
        <f t="shared" si="66"/>
        <v>0</v>
      </c>
      <c r="W338" s="476">
        <f t="shared" si="66"/>
        <v>0</v>
      </c>
      <c r="X338" s="476">
        <f t="shared" si="66"/>
        <v>0</v>
      </c>
      <c r="Y338" s="476">
        <f t="shared" si="66"/>
        <v>0</v>
      </c>
      <c r="Z338" s="476">
        <f t="shared" si="66"/>
        <v>0</v>
      </c>
      <c r="AA338" s="476">
        <f t="shared" si="66"/>
        <v>0</v>
      </c>
      <c r="AB338" s="476">
        <f t="shared" si="66"/>
        <v>0</v>
      </c>
      <c r="AC338" s="476">
        <f t="shared" si="66"/>
        <v>0</v>
      </c>
      <c r="AD338" s="476">
        <f t="shared" si="66"/>
        <v>0</v>
      </c>
      <c r="AE338" s="476">
        <f t="shared" si="66"/>
        <v>0</v>
      </c>
      <c r="AF338" s="476">
        <f t="shared" si="66"/>
        <v>0</v>
      </c>
      <c r="AG338" s="476">
        <f t="shared" si="66"/>
        <v>0</v>
      </c>
      <c r="AH338" s="476">
        <f t="shared" si="66"/>
        <v>0</v>
      </c>
      <c r="AI338" s="476">
        <f t="shared" si="66"/>
        <v>0</v>
      </c>
      <c r="AJ338" s="476">
        <f t="shared" si="66"/>
        <v>0</v>
      </c>
      <c r="AK338" s="476">
        <f t="shared" si="66"/>
        <v>0</v>
      </c>
      <c r="AL338" s="476">
        <f t="shared" si="66"/>
        <v>0</v>
      </c>
      <c r="AM338" s="179"/>
    </row>
    <row r="339" spans="1:39">
      <c r="B339" s="484"/>
      <c r="C339" s="484"/>
    </row>
    <row r="340" spans="1:39" s="131" customFormat="1" ht="30" customHeight="1">
      <c r="A340" s="130" t="s">
        <v>1059</v>
      </c>
      <c r="B340" s="574"/>
      <c r="C340" s="574"/>
      <c r="M340" s="132"/>
      <c r="N340" s="132"/>
      <c r="O340" s="132"/>
      <c r="P340" s="132"/>
      <c r="AA340" s="133"/>
    </row>
    <row r="341" spans="1:39">
      <c r="A341" s="134" t="s">
        <v>1057</v>
      </c>
      <c r="B341" s="484"/>
      <c r="C341" s="484"/>
    </row>
    <row r="342" spans="1:39" s="80" customFormat="1" ht="15" customHeight="1">
      <c r="A342" s="168" t="s">
        <v>18</v>
      </c>
      <c r="L342" s="222" t="str">
        <f>INDEX('Общие сведения'!$J$114:$J$140,MATCH($A342,'Общие сведения'!$D$114:$D$140,0))</f>
        <v>Тариф 1 (Водоотведение) - тариф на транспортировку сточных вод</v>
      </c>
      <c r="M342" s="144"/>
      <c r="N342" s="144"/>
      <c r="O342" s="144"/>
      <c r="P342" s="144"/>
      <c r="Q342" s="144"/>
      <c r="R342" s="144"/>
      <c r="S342" s="144"/>
      <c r="T342" s="144"/>
      <c r="U342" s="144"/>
      <c r="V342" s="144"/>
      <c r="W342" s="144"/>
      <c r="X342" s="144"/>
      <c r="Y342" s="144"/>
      <c r="Z342" s="144"/>
      <c r="AA342" s="144"/>
      <c r="AB342" s="144"/>
      <c r="AC342" s="144"/>
      <c r="AD342" s="144"/>
      <c r="AE342" s="144"/>
      <c r="AF342" s="144"/>
      <c r="AG342" s="144"/>
      <c r="AH342" s="144"/>
      <c r="AI342" s="144"/>
      <c r="AJ342" s="144"/>
      <c r="AK342" s="144"/>
      <c r="AL342" s="144"/>
      <c r="AM342" s="144"/>
    </row>
    <row r="343" spans="1:39" s="80" customFormat="1" ht="22.8" outlineLevel="1">
      <c r="A343" s="477" t="str">
        <f t="shared" ref="A343:A354" si="67">A342</f>
        <v>1</v>
      </c>
      <c r="B343" s="80" t="s">
        <v>1708</v>
      </c>
      <c r="L343" s="245">
        <v>0</v>
      </c>
      <c r="M343" s="488" t="s">
        <v>411</v>
      </c>
      <c r="N343" s="214" t="s">
        <v>352</v>
      </c>
      <c r="O343" s="238">
        <f>SUM(O344:O352)</f>
        <v>0</v>
      </c>
      <c r="P343" s="238">
        <f t="shared" ref="P343:AL343" si="68">SUM(P344:P352)</f>
        <v>0</v>
      </c>
      <c r="Q343" s="238">
        <f t="shared" si="68"/>
        <v>0</v>
      </c>
      <c r="R343" s="238">
        <f t="shared" si="68"/>
        <v>0</v>
      </c>
      <c r="S343" s="238">
        <f t="shared" si="68"/>
        <v>0</v>
      </c>
      <c r="T343" s="238">
        <f t="shared" si="68"/>
        <v>0</v>
      </c>
      <c r="U343" s="238">
        <f t="shared" si="68"/>
        <v>0</v>
      </c>
      <c r="V343" s="238">
        <f t="shared" si="68"/>
        <v>0</v>
      </c>
      <c r="W343" s="238">
        <f t="shared" si="68"/>
        <v>0</v>
      </c>
      <c r="X343" s="238">
        <f t="shared" si="68"/>
        <v>0</v>
      </c>
      <c r="Y343" s="238">
        <f t="shared" si="68"/>
        <v>0</v>
      </c>
      <c r="Z343" s="238">
        <f t="shared" si="68"/>
        <v>0</v>
      </c>
      <c r="AA343" s="238">
        <f t="shared" si="68"/>
        <v>0</v>
      </c>
      <c r="AB343" s="238">
        <f t="shared" si="68"/>
        <v>0</v>
      </c>
      <c r="AC343" s="238">
        <f t="shared" si="68"/>
        <v>0</v>
      </c>
      <c r="AD343" s="238">
        <f t="shared" si="68"/>
        <v>0</v>
      </c>
      <c r="AE343" s="238">
        <f t="shared" si="68"/>
        <v>0</v>
      </c>
      <c r="AF343" s="238">
        <f t="shared" si="68"/>
        <v>0</v>
      </c>
      <c r="AG343" s="238">
        <f t="shared" si="68"/>
        <v>0</v>
      </c>
      <c r="AH343" s="238">
        <f t="shared" si="68"/>
        <v>0</v>
      </c>
      <c r="AI343" s="238">
        <f t="shared" si="68"/>
        <v>0</v>
      </c>
      <c r="AJ343" s="238">
        <f t="shared" si="68"/>
        <v>0</v>
      </c>
      <c r="AK343" s="238">
        <f t="shared" si="68"/>
        <v>0</v>
      </c>
      <c r="AL343" s="238">
        <f t="shared" si="68"/>
        <v>0</v>
      </c>
      <c r="AM343" s="179"/>
    </row>
    <row r="344" spans="1:39" s="80" customFormat="1" outlineLevel="1">
      <c r="A344" s="477" t="str">
        <f t="shared" si="67"/>
        <v>1</v>
      </c>
      <c r="B344" s="80" t="s">
        <v>1406</v>
      </c>
      <c r="L344" s="215" t="s">
        <v>18</v>
      </c>
      <c r="M344" s="468" t="s">
        <v>412</v>
      </c>
      <c r="N344" s="217" t="s">
        <v>352</v>
      </c>
      <c r="O344" s="239"/>
      <c r="P344" s="240"/>
      <c r="Q344" s="240"/>
      <c r="R344" s="240"/>
      <c r="S344" s="240"/>
      <c r="T344" s="240"/>
      <c r="U344" s="240"/>
      <c r="V344" s="240"/>
      <c r="W344" s="240"/>
      <c r="X344" s="240"/>
      <c r="Y344" s="240"/>
      <c r="Z344" s="240"/>
      <c r="AA344" s="240"/>
      <c r="AB344" s="240"/>
      <c r="AC344" s="240"/>
      <c r="AD344" s="240"/>
      <c r="AE344" s="240"/>
      <c r="AF344" s="240"/>
      <c r="AG344" s="240"/>
      <c r="AH344" s="240"/>
      <c r="AI344" s="240"/>
      <c r="AJ344" s="240"/>
      <c r="AK344" s="240"/>
      <c r="AL344" s="240"/>
      <c r="AM344" s="179"/>
    </row>
    <row r="345" spans="1:39" s="80" customFormat="1" outlineLevel="1">
      <c r="A345" s="477" t="str">
        <f t="shared" si="67"/>
        <v>1</v>
      </c>
      <c r="B345" s="80" t="s">
        <v>1438</v>
      </c>
      <c r="L345" s="215" t="s">
        <v>102</v>
      </c>
      <c r="M345" s="468" t="s">
        <v>413</v>
      </c>
      <c r="N345" s="217" t="s">
        <v>352</v>
      </c>
      <c r="O345" s="239"/>
      <c r="P345" s="240"/>
      <c r="Q345" s="240"/>
      <c r="R345" s="240"/>
      <c r="S345" s="240"/>
      <c r="T345" s="240"/>
      <c r="U345" s="240"/>
      <c r="V345" s="240"/>
      <c r="W345" s="240"/>
      <c r="X345" s="240"/>
      <c r="Y345" s="240"/>
      <c r="Z345" s="240"/>
      <c r="AA345" s="240"/>
      <c r="AB345" s="240"/>
      <c r="AC345" s="240"/>
      <c r="AD345" s="240"/>
      <c r="AE345" s="240"/>
      <c r="AF345" s="240"/>
      <c r="AG345" s="240"/>
      <c r="AH345" s="240"/>
      <c r="AI345" s="240"/>
      <c r="AJ345" s="240"/>
      <c r="AK345" s="240"/>
      <c r="AL345" s="240"/>
      <c r="AM345" s="179"/>
    </row>
    <row r="346" spans="1:39" s="80" customFormat="1" outlineLevel="1">
      <c r="A346" s="477" t="str">
        <f t="shared" si="67"/>
        <v>1</v>
      </c>
      <c r="B346" s="80" t="s">
        <v>1442</v>
      </c>
      <c r="L346" s="215" t="s">
        <v>103</v>
      </c>
      <c r="M346" s="468" t="s">
        <v>1337</v>
      </c>
      <c r="N346" s="217" t="s">
        <v>352</v>
      </c>
      <c r="O346" s="239"/>
      <c r="P346" s="240"/>
      <c r="Q346" s="240"/>
      <c r="R346" s="240"/>
      <c r="S346" s="240"/>
      <c r="T346" s="240"/>
      <c r="U346" s="240"/>
      <c r="V346" s="240"/>
      <c r="W346" s="240"/>
      <c r="X346" s="240"/>
      <c r="Y346" s="240"/>
      <c r="Z346" s="240"/>
      <c r="AA346" s="240"/>
      <c r="AB346" s="240"/>
      <c r="AC346" s="240"/>
      <c r="AD346" s="240"/>
      <c r="AE346" s="240"/>
      <c r="AF346" s="240"/>
      <c r="AG346" s="240"/>
      <c r="AH346" s="240"/>
      <c r="AI346" s="240"/>
      <c r="AJ346" s="240"/>
      <c r="AK346" s="240"/>
      <c r="AL346" s="240"/>
      <c r="AM346" s="179"/>
    </row>
    <row r="347" spans="1:39" s="94" customFormat="1" outlineLevel="1">
      <c r="A347" s="477" t="str">
        <f t="shared" si="67"/>
        <v>1</v>
      </c>
      <c r="B347" s="94" t="s">
        <v>1444</v>
      </c>
      <c r="L347" s="235">
        <v>4</v>
      </c>
      <c r="M347" s="468" t="s">
        <v>414</v>
      </c>
      <c r="N347" s="217" t="s">
        <v>352</v>
      </c>
      <c r="O347" s="241"/>
      <c r="P347" s="241"/>
      <c r="Q347" s="241"/>
      <c r="R347" s="241"/>
      <c r="S347" s="241"/>
      <c r="T347" s="241"/>
      <c r="U347" s="241"/>
      <c r="V347" s="241"/>
      <c r="W347" s="241"/>
      <c r="X347" s="241"/>
      <c r="Y347" s="241"/>
      <c r="Z347" s="241"/>
      <c r="AA347" s="241"/>
      <c r="AB347" s="241"/>
      <c r="AC347" s="241"/>
      <c r="AD347" s="241"/>
      <c r="AE347" s="241"/>
      <c r="AF347" s="241"/>
      <c r="AG347" s="241"/>
      <c r="AH347" s="241"/>
      <c r="AI347" s="241"/>
      <c r="AJ347" s="241"/>
      <c r="AK347" s="241"/>
      <c r="AL347" s="241"/>
      <c r="AM347" s="179"/>
    </row>
    <row r="348" spans="1:39" s="80" customFormat="1" outlineLevel="1">
      <c r="A348" s="477" t="str">
        <f t="shared" si="67"/>
        <v>1</v>
      </c>
      <c r="B348" s="80" t="s">
        <v>1446</v>
      </c>
      <c r="L348" s="215" t="s">
        <v>120</v>
      </c>
      <c r="M348" s="468" t="s">
        <v>415</v>
      </c>
      <c r="N348" s="217" t="s">
        <v>352</v>
      </c>
      <c r="O348" s="239"/>
      <c r="P348" s="239"/>
      <c r="Q348" s="239"/>
      <c r="R348" s="239"/>
      <c r="S348" s="239"/>
      <c r="T348" s="239"/>
      <c r="U348" s="239"/>
      <c r="V348" s="239"/>
      <c r="W348" s="239"/>
      <c r="X348" s="239"/>
      <c r="Y348" s="239"/>
      <c r="Z348" s="239"/>
      <c r="AA348" s="239"/>
      <c r="AB348" s="239"/>
      <c r="AC348" s="239"/>
      <c r="AD348" s="239"/>
      <c r="AE348" s="239"/>
      <c r="AF348" s="239"/>
      <c r="AG348" s="239"/>
      <c r="AH348" s="239"/>
      <c r="AI348" s="239"/>
      <c r="AJ348" s="239"/>
      <c r="AK348" s="239"/>
      <c r="AL348" s="239"/>
      <c r="AM348" s="179"/>
    </row>
    <row r="349" spans="1:39" s="80" customFormat="1" outlineLevel="1">
      <c r="A349" s="477" t="str">
        <f t="shared" si="67"/>
        <v>1</v>
      </c>
      <c r="B349" s="80" t="s">
        <v>1448</v>
      </c>
      <c r="L349" s="215" t="s">
        <v>124</v>
      </c>
      <c r="M349" s="468" t="s">
        <v>133</v>
      </c>
      <c r="N349" s="217" t="s">
        <v>352</v>
      </c>
      <c r="O349" s="239"/>
      <c r="P349" s="239"/>
      <c r="Q349" s="239"/>
      <c r="R349" s="239"/>
      <c r="S349" s="239"/>
      <c r="T349" s="239"/>
      <c r="U349" s="239"/>
      <c r="V349" s="239"/>
      <c r="W349" s="239"/>
      <c r="X349" s="239"/>
      <c r="Y349" s="239"/>
      <c r="Z349" s="239"/>
      <c r="AA349" s="239"/>
      <c r="AB349" s="239"/>
      <c r="AC349" s="239"/>
      <c r="AD349" s="239"/>
      <c r="AE349" s="239"/>
      <c r="AF349" s="239"/>
      <c r="AG349" s="239"/>
      <c r="AH349" s="239"/>
      <c r="AI349" s="239"/>
      <c r="AJ349" s="239"/>
      <c r="AK349" s="239"/>
      <c r="AL349" s="239"/>
      <c r="AM349" s="179"/>
    </row>
    <row r="350" spans="1:39" s="80" customFormat="1" outlineLevel="1">
      <c r="A350" s="477" t="str">
        <f t="shared" si="67"/>
        <v>1</v>
      </c>
      <c r="B350" s="80" t="s">
        <v>1450</v>
      </c>
      <c r="L350" s="215" t="s">
        <v>125</v>
      </c>
      <c r="M350" s="468" t="s">
        <v>132</v>
      </c>
      <c r="N350" s="217" t="s">
        <v>352</v>
      </c>
      <c r="O350" s="239"/>
      <c r="P350" s="239"/>
      <c r="Q350" s="239"/>
      <c r="R350" s="239"/>
      <c r="S350" s="239"/>
      <c r="T350" s="239"/>
      <c r="U350" s="239"/>
      <c r="V350" s="239"/>
      <c r="W350" s="239"/>
      <c r="X350" s="239"/>
      <c r="Y350" s="239"/>
      <c r="Z350" s="239"/>
      <c r="AA350" s="239"/>
      <c r="AB350" s="239"/>
      <c r="AC350" s="239"/>
      <c r="AD350" s="239"/>
      <c r="AE350" s="239"/>
      <c r="AF350" s="239"/>
      <c r="AG350" s="239"/>
      <c r="AH350" s="239"/>
      <c r="AI350" s="239"/>
      <c r="AJ350" s="239"/>
      <c r="AK350" s="239"/>
      <c r="AL350" s="239"/>
      <c r="AM350" s="179"/>
    </row>
    <row r="351" spans="1:39" s="80" customFormat="1" outlineLevel="1">
      <c r="A351" s="477" t="str">
        <f t="shared" si="67"/>
        <v>1</v>
      </c>
      <c r="B351" s="80" t="s">
        <v>1452</v>
      </c>
      <c r="L351" s="215" t="s">
        <v>126</v>
      </c>
      <c r="M351" s="468" t="s">
        <v>1338</v>
      </c>
      <c r="N351" s="217" t="s">
        <v>352</v>
      </c>
      <c r="O351" s="239"/>
      <c r="P351" s="239"/>
      <c r="Q351" s="239"/>
      <c r="R351" s="239"/>
      <c r="S351" s="239"/>
      <c r="T351" s="239"/>
      <c r="U351" s="239"/>
      <c r="V351" s="239"/>
      <c r="W351" s="239"/>
      <c r="X351" s="239"/>
      <c r="Y351" s="239"/>
      <c r="Z351" s="239"/>
      <c r="AA351" s="239"/>
      <c r="AB351" s="239"/>
      <c r="AC351" s="239"/>
      <c r="AD351" s="239"/>
      <c r="AE351" s="239"/>
      <c r="AF351" s="239"/>
      <c r="AG351" s="239"/>
      <c r="AH351" s="239"/>
      <c r="AI351" s="239"/>
      <c r="AJ351" s="239"/>
      <c r="AK351" s="239"/>
      <c r="AL351" s="239"/>
      <c r="AM351" s="179"/>
    </row>
    <row r="352" spans="1:39" s="94" customFormat="1" outlineLevel="1">
      <c r="A352" s="477" t="str">
        <f>A350</f>
        <v>1</v>
      </c>
      <c r="B352" s="94" t="s">
        <v>1456</v>
      </c>
      <c r="L352" s="235">
        <v>9</v>
      </c>
      <c r="M352" s="468" t="s">
        <v>416</v>
      </c>
      <c r="N352" s="217" t="s">
        <v>352</v>
      </c>
      <c r="O352" s="246">
        <f>SUM(O353:O354)</f>
        <v>0</v>
      </c>
      <c r="P352" s="246">
        <f t="shared" ref="P352:AL352" si="69">SUM(P353:P354)</f>
        <v>0</v>
      </c>
      <c r="Q352" s="246">
        <f t="shared" si="69"/>
        <v>0</v>
      </c>
      <c r="R352" s="246">
        <f t="shared" si="69"/>
        <v>0</v>
      </c>
      <c r="S352" s="246">
        <f t="shared" si="69"/>
        <v>0</v>
      </c>
      <c r="T352" s="246">
        <f t="shared" si="69"/>
        <v>0</v>
      </c>
      <c r="U352" s="246">
        <f t="shared" si="69"/>
        <v>0</v>
      </c>
      <c r="V352" s="246">
        <f t="shared" si="69"/>
        <v>0</v>
      </c>
      <c r="W352" s="246">
        <f t="shared" si="69"/>
        <v>0</v>
      </c>
      <c r="X352" s="246">
        <f t="shared" si="69"/>
        <v>0</v>
      </c>
      <c r="Y352" s="246">
        <f t="shared" si="69"/>
        <v>0</v>
      </c>
      <c r="Z352" s="246">
        <f t="shared" si="69"/>
        <v>0</v>
      </c>
      <c r="AA352" s="246">
        <f t="shared" si="69"/>
        <v>0</v>
      </c>
      <c r="AB352" s="246">
        <f t="shared" si="69"/>
        <v>0</v>
      </c>
      <c r="AC352" s="246">
        <f t="shared" si="69"/>
        <v>0</v>
      </c>
      <c r="AD352" s="246">
        <f t="shared" si="69"/>
        <v>0</v>
      </c>
      <c r="AE352" s="246">
        <f t="shared" si="69"/>
        <v>0</v>
      </c>
      <c r="AF352" s="246">
        <f t="shared" si="69"/>
        <v>0</v>
      </c>
      <c r="AG352" s="246">
        <f t="shared" si="69"/>
        <v>0</v>
      </c>
      <c r="AH352" s="246">
        <f t="shared" si="69"/>
        <v>0</v>
      </c>
      <c r="AI352" s="246">
        <f t="shared" si="69"/>
        <v>0</v>
      </c>
      <c r="AJ352" s="246">
        <f t="shared" si="69"/>
        <v>0</v>
      </c>
      <c r="AK352" s="246">
        <f t="shared" si="69"/>
        <v>0</v>
      </c>
      <c r="AL352" s="246">
        <f t="shared" si="69"/>
        <v>0</v>
      </c>
      <c r="AM352" s="179"/>
    </row>
    <row r="353" spans="1:41" s="94" customFormat="1" ht="0.15" customHeight="1" outlineLevel="1">
      <c r="A353" s="477" t="str">
        <f t="shared" si="67"/>
        <v>1</v>
      </c>
      <c r="L353" s="235" t="s">
        <v>1312</v>
      </c>
      <c r="M353" s="216"/>
      <c r="N353" s="217"/>
      <c r="O353" s="236"/>
      <c r="P353" s="236"/>
      <c r="Q353" s="236"/>
      <c r="R353" s="236"/>
      <c r="S353" s="236"/>
      <c r="T353" s="236"/>
      <c r="U353" s="236"/>
      <c r="V353" s="236"/>
      <c r="W353" s="236"/>
      <c r="X353" s="236"/>
      <c r="Y353" s="236"/>
      <c r="Z353" s="236"/>
      <c r="AA353" s="236"/>
      <c r="AB353" s="236"/>
      <c r="AC353" s="236"/>
      <c r="AD353" s="236"/>
      <c r="AE353" s="236"/>
      <c r="AF353" s="236"/>
      <c r="AG353" s="236"/>
      <c r="AH353" s="236"/>
      <c r="AI353" s="236"/>
      <c r="AJ353" s="236"/>
      <c r="AK353" s="236"/>
      <c r="AL353" s="236"/>
      <c r="AM353" s="237"/>
    </row>
    <row r="354" spans="1:41" s="80" customFormat="1" outlineLevel="1">
      <c r="A354" s="477" t="str">
        <f t="shared" si="67"/>
        <v>1</v>
      </c>
      <c r="B354" s="80" t="str">
        <f>A354&amp;"pIns"</f>
        <v>1pIns</v>
      </c>
      <c r="L354" s="242"/>
      <c r="M354" s="243" t="s">
        <v>353</v>
      </c>
      <c r="N354" s="243"/>
      <c r="O354" s="243"/>
      <c r="P354" s="243"/>
      <c r="Q354" s="243"/>
      <c r="R354" s="243"/>
      <c r="S354" s="243"/>
      <c r="T354" s="243"/>
      <c r="U354" s="243"/>
      <c r="V354" s="243"/>
      <c r="W354" s="243"/>
      <c r="X354" s="243"/>
      <c r="Y354" s="243"/>
      <c r="Z354" s="243"/>
      <c r="AA354" s="243"/>
      <c r="AB354" s="243"/>
      <c r="AC354" s="243"/>
      <c r="AD354" s="243"/>
      <c r="AE354" s="243"/>
      <c r="AF354" s="243"/>
      <c r="AG354" s="243"/>
      <c r="AH354" s="243"/>
      <c r="AI354" s="243"/>
      <c r="AJ354" s="243"/>
      <c r="AK354" s="243"/>
      <c r="AL354" s="243"/>
      <c r="AM354" s="244"/>
    </row>
    <row r="355" spans="1:41">
      <c r="A355" s="134" t="s">
        <v>1058</v>
      </c>
      <c r="B355" s="484"/>
      <c r="C355" s="484"/>
    </row>
    <row r="356" spans="1:41" s="80" customFormat="1" ht="13.8" outlineLevel="1">
      <c r="A356" s="248" t="str">
        <f>A355</f>
        <v>et_List10_nalog</v>
      </c>
      <c r="B356" s="80" t="s">
        <v>1456</v>
      </c>
      <c r="C356" s="577">
        <f>M356</f>
        <v>0</v>
      </c>
      <c r="K356" s="135" t="s">
        <v>265</v>
      </c>
      <c r="L356" s="215" t="s">
        <v>18</v>
      </c>
      <c r="M356" s="247"/>
      <c r="N356" s="217" t="s">
        <v>352</v>
      </c>
      <c r="O356" s="239"/>
      <c r="P356" s="240"/>
      <c r="Q356" s="240"/>
      <c r="R356" s="240"/>
      <c r="S356" s="240"/>
      <c r="T356" s="240"/>
      <c r="U356" s="240"/>
      <c r="V356" s="240"/>
      <c r="W356" s="240"/>
      <c r="X356" s="240"/>
      <c r="Y356" s="240"/>
      <c r="Z356" s="240"/>
      <c r="AA356" s="240"/>
      <c r="AB356" s="240"/>
      <c r="AC356" s="240"/>
      <c r="AD356" s="240"/>
      <c r="AE356" s="240"/>
      <c r="AF356" s="240"/>
      <c r="AG356" s="240"/>
      <c r="AH356" s="240"/>
      <c r="AI356" s="240"/>
      <c r="AJ356" s="240"/>
      <c r="AK356" s="240"/>
      <c r="AL356" s="240"/>
      <c r="AM356" s="179"/>
    </row>
    <row r="357" spans="1:41">
      <c r="B357" s="484"/>
      <c r="C357" s="578"/>
    </row>
    <row r="358" spans="1:41" s="131" customFormat="1" ht="30" customHeight="1">
      <c r="A358" s="130" t="s">
        <v>1062</v>
      </c>
      <c r="B358" s="574"/>
      <c r="C358" s="574"/>
      <c r="M358" s="132"/>
      <c r="N358" s="132"/>
      <c r="O358" s="132"/>
      <c r="P358" s="132"/>
      <c r="AA358" s="133"/>
    </row>
    <row r="359" spans="1:41">
      <c r="A359" s="134" t="s">
        <v>1063</v>
      </c>
      <c r="B359" s="484"/>
      <c r="C359" s="484"/>
    </row>
    <row r="360" spans="1:41" s="80" customFormat="1" ht="15" customHeight="1">
      <c r="A360" s="168" t="s">
        <v>18</v>
      </c>
      <c r="B360" s="101" t="b">
        <f>'ИП + источники'!$N$14&lt;&gt;"да"</f>
        <v>1</v>
      </c>
      <c r="L360" s="264" t="str">
        <f>INDEX('Общие сведения'!$J$114:$J$140,MATCH($A360,'Общие сведения'!$D$114:$D$140,0))</f>
        <v>Тариф 1 (Водоотведение) - тариф на транспортировку сточных вод</v>
      </c>
      <c r="M360" s="265"/>
      <c r="N360" s="265"/>
      <c r="O360" s="265"/>
      <c r="P360" s="265"/>
      <c r="Q360" s="265"/>
      <c r="R360" s="265"/>
      <c r="S360" s="265"/>
      <c r="T360" s="265"/>
      <c r="U360" s="265"/>
      <c r="V360" s="265"/>
      <c r="W360" s="265"/>
      <c r="X360" s="265"/>
      <c r="Y360" s="265"/>
      <c r="Z360" s="265"/>
      <c r="AA360" s="265"/>
      <c r="AB360" s="265"/>
      <c r="AC360" s="265"/>
      <c r="AD360" s="265"/>
      <c r="AE360" s="265"/>
      <c r="AF360" s="265"/>
      <c r="AG360" s="265"/>
      <c r="AH360" s="265"/>
      <c r="AI360" s="265"/>
      <c r="AJ360" s="265"/>
      <c r="AK360" s="265"/>
      <c r="AL360" s="265"/>
      <c r="AM360" s="265"/>
      <c r="AN360" s="265"/>
      <c r="AO360" s="265"/>
    </row>
    <row r="361" spans="1:41" s="263" customFormat="1" ht="22.8" outlineLevel="1">
      <c r="A361" s="477" t="str">
        <f t="shared" ref="A361:A383" si="70">A360</f>
        <v>1</v>
      </c>
      <c r="B361" s="101" t="b">
        <f>'ИП + источники'!$N$14&lt;&gt;"да"</f>
        <v>1</v>
      </c>
      <c r="C361" s="101" t="s">
        <v>1406</v>
      </c>
      <c r="L361" s="261">
        <v>1</v>
      </c>
      <c r="M361" s="256" t="s">
        <v>420</v>
      </c>
      <c r="N361" s="262" t="s">
        <v>352</v>
      </c>
      <c r="O361" s="252">
        <f>O362+O367+O371+O375</f>
        <v>0</v>
      </c>
      <c r="P361" s="252">
        <f t="shared" ref="P361:AN361" si="71">P362+P367+P371+P375</f>
        <v>0</v>
      </c>
      <c r="Q361" s="252">
        <f t="shared" si="71"/>
        <v>0</v>
      </c>
      <c r="R361" s="252">
        <f t="shared" si="71"/>
        <v>0</v>
      </c>
      <c r="S361" s="252">
        <f t="shared" si="71"/>
        <v>0</v>
      </c>
      <c r="T361" s="252">
        <f t="shared" si="71"/>
        <v>0</v>
      </c>
      <c r="U361" s="252">
        <f t="shared" si="71"/>
        <v>0</v>
      </c>
      <c r="V361" s="252">
        <f t="shared" si="71"/>
        <v>0</v>
      </c>
      <c r="W361" s="252">
        <f t="shared" si="71"/>
        <v>0</v>
      </c>
      <c r="X361" s="252">
        <f t="shared" si="71"/>
        <v>0</v>
      </c>
      <c r="Y361" s="252">
        <f t="shared" si="71"/>
        <v>0</v>
      </c>
      <c r="Z361" s="252">
        <f t="shared" si="71"/>
        <v>0</v>
      </c>
      <c r="AA361" s="252">
        <f t="shared" si="71"/>
        <v>0</v>
      </c>
      <c r="AB361" s="252">
        <f t="shared" si="71"/>
        <v>0</v>
      </c>
      <c r="AC361" s="252">
        <f t="shared" si="71"/>
        <v>0</v>
      </c>
      <c r="AD361" s="252">
        <f t="shared" si="71"/>
        <v>0</v>
      </c>
      <c r="AE361" s="252">
        <f t="shared" si="71"/>
        <v>0</v>
      </c>
      <c r="AF361" s="252">
        <f t="shared" si="71"/>
        <v>0</v>
      </c>
      <c r="AG361" s="252">
        <f t="shared" si="71"/>
        <v>0</v>
      </c>
      <c r="AH361" s="252">
        <f t="shared" si="71"/>
        <v>0</v>
      </c>
      <c r="AI361" s="252">
        <f t="shared" si="71"/>
        <v>0</v>
      </c>
      <c r="AJ361" s="252">
        <f t="shared" si="71"/>
        <v>0</v>
      </c>
      <c r="AK361" s="252">
        <f t="shared" si="71"/>
        <v>0</v>
      </c>
      <c r="AL361" s="252">
        <f t="shared" si="71"/>
        <v>0</v>
      </c>
      <c r="AM361" s="252">
        <f t="shared" si="71"/>
        <v>0</v>
      </c>
      <c r="AN361" s="252">
        <f t="shared" si="71"/>
        <v>0</v>
      </c>
      <c r="AO361" s="179"/>
    </row>
    <row r="362" spans="1:41" s="101" customFormat="1" outlineLevel="1">
      <c r="A362" s="477" t="str">
        <f t="shared" si="70"/>
        <v>1</v>
      </c>
      <c r="B362" s="101" t="b">
        <f>'ИП + источники'!$N$14&lt;&gt;"да"</f>
        <v>1</v>
      </c>
      <c r="C362" s="101" t="s">
        <v>1407</v>
      </c>
      <c r="L362" s="258" t="s">
        <v>149</v>
      </c>
      <c r="M362" s="259" t="s">
        <v>421</v>
      </c>
      <c r="N362" s="255" t="s">
        <v>352</v>
      </c>
      <c r="O362" s="253">
        <f>O363+O364+O365+O366</f>
        <v>0</v>
      </c>
      <c r="P362" s="253">
        <f t="shared" ref="P362:AN362" si="72">P363+P364+P365+P366</f>
        <v>0</v>
      </c>
      <c r="Q362" s="253">
        <f t="shared" si="72"/>
        <v>0</v>
      </c>
      <c r="R362" s="253">
        <f t="shared" si="72"/>
        <v>0</v>
      </c>
      <c r="S362" s="253">
        <f t="shared" si="72"/>
        <v>0</v>
      </c>
      <c r="T362" s="253">
        <f t="shared" si="72"/>
        <v>0</v>
      </c>
      <c r="U362" s="253">
        <f t="shared" si="72"/>
        <v>0</v>
      </c>
      <c r="V362" s="253">
        <f t="shared" si="72"/>
        <v>0</v>
      </c>
      <c r="W362" s="253">
        <f t="shared" si="72"/>
        <v>0</v>
      </c>
      <c r="X362" s="253">
        <f t="shared" si="72"/>
        <v>0</v>
      </c>
      <c r="Y362" s="253">
        <f t="shared" si="72"/>
        <v>0</v>
      </c>
      <c r="Z362" s="253">
        <f t="shared" si="72"/>
        <v>0</v>
      </c>
      <c r="AA362" s="253">
        <f t="shared" si="72"/>
        <v>0</v>
      </c>
      <c r="AB362" s="253">
        <f t="shared" si="72"/>
        <v>0</v>
      </c>
      <c r="AC362" s="253">
        <f t="shared" si="72"/>
        <v>0</v>
      </c>
      <c r="AD362" s="253">
        <f t="shared" si="72"/>
        <v>0</v>
      </c>
      <c r="AE362" s="253">
        <f t="shared" si="72"/>
        <v>0</v>
      </c>
      <c r="AF362" s="253">
        <f t="shared" si="72"/>
        <v>0</v>
      </c>
      <c r="AG362" s="253">
        <f t="shared" si="72"/>
        <v>0</v>
      </c>
      <c r="AH362" s="253">
        <f t="shared" si="72"/>
        <v>0</v>
      </c>
      <c r="AI362" s="253">
        <f t="shared" si="72"/>
        <v>0</v>
      </c>
      <c r="AJ362" s="253">
        <f t="shared" si="72"/>
        <v>0</v>
      </c>
      <c r="AK362" s="253">
        <f t="shared" si="72"/>
        <v>0</v>
      </c>
      <c r="AL362" s="253">
        <f t="shared" si="72"/>
        <v>0</v>
      </c>
      <c r="AM362" s="253">
        <f t="shared" si="72"/>
        <v>0</v>
      </c>
      <c r="AN362" s="253">
        <f t="shared" si="72"/>
        <v>0</v>
      </c>
      <c r="AO362" s="179"/>
    </row>
    <row r="363" spans="1:41" s="101" customFormat="1" outlineLevel="1">
      <c r="A363" s="477" t="str">
        <f t="shared" si="70"/>
        <v>1</v>
      </c>
      <c r="B363" s="101" t="b">
        <f>'ИП + источники'!$N$14&lt;&gt;"да"</f>
        <v>1</v>
      </c>
      <c r="C363" s="101" t="s">
        <v>1658</v>
      </c>
      <c r="L363" s="258" t="s">
        <v>394</v>
      </c>
      <c r="M363" s="260" t="s">
        <v>422</v>
      </c>
      <c r="N363" s="255" t="s">
        <v>352</v>
      </c>
      <c r="O363" s="254"/>
      <c r="P363" s="254"/>
      <c r="Q363" s="254"/>
      <c r="R363" s="254"/>
      <c r="S363" s="254"/>
      <c r="T363" s="254"/>
      <c r="U363" s="254"/>
      <c r="V363" s="254"/>
      <c r="W363" s="254"/>
      <c r="X363" s="254"/>
      <c r="Y363" s="254"/>
      <c r="Z363" s="254"/>
      <c r="AA363" s="254"/>
      <c r="AB363" s="254"/>
      <c r="AC363" s="254"/>
      <c r="AD363" s="254"/>
      <c r="AE363" s="254"/>
      <c r="AF363" s="254"/>
      <c r="AG363" s="254"/>
      <c r="AH363" s="254"/>
      <c r="AI363" s="254"/>
      <c r="AJ363" s="254"/>
      <c r="AK363" s="254"/>
      <c r="AL363" s="254"/>
      <c r="AM363" s="254"/>
      <c r="AN363" s="254"/>
      <c r="AO363" s="179"/>
    </row>
    <row r="364" spans="1:41" s="101" customFormat="1" outlineLevel="1">
      <c r="A364" s="477" t="str">
        <f t="shared" si="70"/>
        <v>1</v>
      </c>
      <c r="B364" s="101" t="b">
        <f>'ИП + источники'!$N$14&lt;&gt;"да"</f>
        <v>1</v>
      </c>
      <c r="C364" s="101" t="s">
        <v>1659</v>
      </c>
      <c r="L364" s="258" t="s">
        <v>396</v>
      </c>
      <c r="M364" s="260" t="s">
        <v>1098</v>
      </c>
      <c r="N364" s="255" t="s">
        <v>352</v>
      </c>
      <c r="O364" s="254"/>
      <c r="P364" s="254"/>
      <c r="Q364" s="254"/>
      <c r="R364" s="254"/>
      <c r="S364" s="254"/>
      <c r="T364" s="254"/>
      <c r="U364" s="254"/>
      <c r="V364" s="254"/>
      <c r="W364" s="254"/>
      <c r="X364" s="254"/>
      <c r="Y364" s="254"/>
      <c r="Z364" s="254"/>
      <c r="AA364" s="254"/>
      <c r="AB364" s="254"/>
      <c r="AC364" s="254"/>
      <c r="AD364" s="254"/>
      <c r="AE364" s="254"/>
      <c r="AF364" s="254"/>
      <c r="AG364" s="254"/>
      <c r="AH364" s="254"/>
      <c r="AI364" s="254"/>
      <c r="AJ364" s="254"/>
      <c r="AK364" s="254"/>
      <c r="AL364" s="254"/>
      <c r="AM364" s="254"/>
      <c r="AN364" s="254"/>
      <c r="AO364" s="179"/>
    </row>
    <row r="365" spans="1:41" s="101" customFormat="1" outlineLevel="1">
      <c r="A365" s="477" t="str">
        <f t="shared" si="70"/>
        <v>1</v>
      </c>
      <c r="B365" s="101" t="b">
        <f>'ИП + источники'!$N$14&lt;&gt;"да"</f>
        <v>1</v>
      </c>
      <c r="C365" s="101" t="s">
        <v>1660</v>
      </c>
      <c r="L365" s="258" t="s">
        <v>1060</v>
      </c>
      <c r="M365" s="260" t="s">
        <v>423</v>
      </c>
      <c r="N365" s="255" t="s">
        <v>352</v>
      </c>
      <c r="O365" s="254"/>
      <c r="P365" s="254"/>
      <c r="Q365" s="254"/>
      <c r="R365" s="254"/>
      <c r="S365" s="254"/>
      <c r="T365" s="254"/>
      <c r="U365" s="254"/>
      <c r="V365" s="254"/>
      <c r="W365" s="254"/>
      <c r="X365" s="254"/>
      <c r="Y365" s="254"/>
      <c r="Z365" s="254"/>
      <c r="AA365" s="254"/>
      <c r="AB365" s="254"/>
      <c r="AC365" s="254"/>
      <c r="AD365" s="254"/>
      <c r="AE365" s="254"/>
      <c r="AF365" s="254"/>
      <c r="AG365" s="254"/>
      <c r="AH365" s="254"/>
      <c r="AI365" s="254"/>
      <c r="AJ365" s="254"/>
      <c r="AK365" s="254"/>
      <c r="AL365" s="254"/>
      <c r="AM365" s="254"/>
      <c r="AN365" s="254"/>
      <c r="AO365" s="179"/>
    </row>
    <row r="366" spans="1:41" s="101" customFormat="1" outlineLevel="1">
      <c r="A366" s="477" t="str">
        <f t="shared" si="70"/>
        <v>1</v>
      </c>
      <c r="B366" s="101" t="b">
        <f>'ИП + источники'!$N$14&lt;&gt;"да"</f>
        <v>1</v>
      </c>
      <c r="C366" s="101" t="s">
        <v>1661</v>
      </c>
      <c r="L366" s="258" t="s">
        <v>1061</v>
      </c>
      <c r="M366" s="260" t="s">
        <v>424</v>
      </c>
      <c r="N366" s="255" t="s">
        <v>352</v>
      </c>
      <c r="O366" s="254"/>
      <c r="P366" s="254"/>
      <c r="Q366" s="254"/>
      <c r="R366" s="254"/>
      <c r="S366" s="254"/>
      <c r="T366" s="254"/>
      <c r="U366" s="254"/>
      <c r="V366" s="254"/>
      <c r="W366" s="254"/>
      <c r="X366" s="254"/>
      <c r="Y366" s="254"/>
      <c r="Z366" s="254"/>
      <c r="AA366" s="254"/>
      <c r="AB366" s="254"/>
      <c r="AC366" s="254"/>
      <c r="AD366" s="254"/>
      <c r="AE366" s="254"/>
      <c r="AF366" s="254"/>
      <c r="AG366" s="254"/>
      <c r="AH366" s="254"/>
      <c r="AI366" s="254"/>
      <c r="AJ366" s="254"/>
      <c r="AK366" s="254"/>
      <c r="AL366" s="254"/>
      <c r="AM366" s="254"/>
      <c r="AN366" s="254"/>
      <c r="AO366" s="179"/>
    </row>
    <row r="367" spans="1:41" s="101" customFormat="1" outlineLevel="1">
      <c r="A367" s="477" t="str">
        <f t="shared" si="70"/>
        <v>1</v>
      </c>
      <c r="B367" s="101" t="b">
        <f>'ИП + источники'!$N$14&lt;&gt;"да"</f>
        <v>1</v>
      </c>
      <c r="C367" s="101" t="s">
        <v>1408</v>
      </c>
      <c r="L367" s="258" t="s">
        <v>150</v>
      </c>
      <c r="M367" s="259" t="s">
        <v>425</v>
      </c>
      <c r="N367" s="255" t="s">
        <v>352</v>
      </c>
      <c r="O367" s="253">
        <f>O368+O369+O370</f>
        <v>0</v>
      </c>
      <c r="P367" s="253">
        <f t="shared" ref="P367:AN367" si="73">P368+P369+P370</f>
        <v>0</v>
      </c>
      <c r="Q367" s="253">
        <f t="shared" si="73"/>
        <v>0</v>
      </c>
      <c r="R367" s="253">
        <f t="shared" si="73"/>
        <v>0</v>
      </c>
      <c r="S367" s="253">
        <f t="shared" si="73"/>
        <v>0</v>
      </c>
      <c r="T367" s="253">
        <f t="shared" si="73"/>
        <v>0</v>
      </c>
      <c r="U367" s="253">
        <f t="shared" si="73"/>
        <v>0</v>
      </c>
      <c r="V367" s="253">
        <f t="shared" si="73"/>
        <v>0</v>
      </c>
      <c r="W367" s="253">
        <f t="shared" si="73"/>
        <v>0</v>
      </c>
      <c r="X367" s="253">
        <f t="shared" si="73"/>
        <v>0</v>
      </c>
      <c r="Y367" s="253">
        <f t="shared" si="73"/>
        <v>0</v>
      </c>
      <c r="Z367" s="253">
        <f t="shared" si="73"/>
        <v>0</v>
      </c>
      <c r="AA367" s="253">
        <f t="shared" si="73"/>
        <v>0</v>
      </c>
      <c r="AB367" s="253">
        <f t="shared" si="73"/>
        <v>0</v>
      </c>
      <c r="AC367" s="253">
        <f t="shared" si="73"/>
        <v>0</v>
      </c>
      <c r="AD367" s="253">
        <f t="shared" si="73"/>
        <v>0</v>
      </c>
      <c r="AE367" s="253">
        <f t="shared" si="73"/>
        <v>0</v>
      </c>
      <c r="AF367" s="253">
        <f t="shared" si="73"/>
        <v>0</v>
      </c>
      <c r="AG367" s="253">
        <f t="shared" si="73"/>
        <v>0</v>
      </c>
      <c r="AH367" s="253">
        <f t="shared" si="73"/>
        <v>0</v>
      </c>
      <c r="AI367" s="253">
        <f t="shared" si="73"/>
        <v>0</v>
      </c>
      <c r="AJ367" s="253">
        <f t="shared" si="73"/>
        <v>0</v>
      </c>
      <c r="AK367" s="253">
        <f t="shared" si="73"/>
        <v>0</v>
      </c>
      <c r="AL367" s="253">
        <f t="shared" si="73"/>
        <v>0</v>
      </c>
      <c r="AM367" s="253">
        <f t="shared" si="73"/>
        <v>0</v>
      </c>
      <c r="AN367" s="253">
        <f t="shared" si="73"/>
        <v>0</v>
      </c>
      <c r="AO367" s="179"/>
    </row>
    <row r="368" spans="1:41" s="101" customFormat="1" outlineLevel="1">
      <c r="A368" s="477" t="str">
        <f t="shared" si="70"/>
        <v>1</v>
      </c>
      <c r="B368" s="101" t="b">
        <f>'ИП + источники'!$N$14&lt;&gt;"да"</f>
        <v>1</v>
      </c>
      <c r="C368" s="101" t="s">
        <v>1409</v>
      </c>
      <c r="L368" s="258" t="s">
        <v>515</v>
      </c>
      <c r="M368" s="260" t="s">
        <v>426</v>
      </c>
      <c r="N368" s="255" t="s">
        <v>352</v>
      </c>
      <c r="O368" s="254"/>
      <c r="P368" s="254"/>
      <c r="Q368" s="254"/>
      <c r="R368" s="254"/>
      <c r="S368" s="254"/>
      <c r="T368" s="254"/>
      <c r="U368" s="254"/>
      <c r="V368" s="254"/>
      <c r="W368" s="254"/>
      <c r="X368" s="254"/>
      <c r="Y368" s="254"/>
      <c r="Z368" s="254"/>
      <c r="AA368" s="254"/>
      <c r="AB368" s="254"/>
      <c r="AC368" s="254"/>
      <c r="AD368" s="254"/>
      <c r="AE368" s="254"/>
      <c r="AF368" s="254"/>
      <c r="AG368" s="254"/>
      <c r="AH368" s="254"/>
      <c r="AI368" s="254"/>
      <c r="AJ368" s="254"/>
      <c r="AK368" s="254"/>
      <c r="AL368" s="254"/>
      <c r="AM368" s="254"/>
      <c r="AN368" s="254"/>
      <c r="AO368" s="179"/>
    </row>
    <row r="369" spans="1:41" s="101" customFormat="1" outlineLevel="1">
      <c r="A369" s="477" t="str">
        <f t="shared" si="70"/>
        <v>1</v>
      </c>
      <c r="B369" s="101" t="b">
        <f>'ИП + источники'!$N$14&lt;&gt;"да"</f>
        <v>1</v>
      </c>
      <c r="C369" s="101" t="s">
        <v>1410</v>
      </c>
      <c r="L369" s="258" t="s">
        <v>521</v>
      </c>
      <c r="M369" s="260" t="s">
        <v>427</v>
      </c>
      <c r="N369" s="255" t="s">
        <v>352</v>
      </c>
      <c r="O369" s="254"/>
      <c r="P369" s="254"/>
      <c r="Q369" s="254"/>
      <c r="R369" s="254"/>
      <c r="S369" s="254"/>
      <c r="T369" s="254"/>
      <c r="U369" s="254"/>
      <c r="V369" s="254"/>
      <c r="W369" s="254"/>
      <c r="X369" s="254"/>
      <c r="Y369" s="254"/>
      <c r="Z369" s="254"/>
      <c r="AA369" s="254"/>
      <c r="AB369" s="254"/>
      <c r="AC369" s="254"/>
      <c r="AD369" s="254"/>
      <c r="AE369" s="254"/>
      <c r="AF369" s="254"/>
      <c r="AG369" s="254"/>
      <c r="AH369" s="254"/>
      <c r="AI369" s="254"/>
      <c r="AJ369" s="254"/>
      <c r="AK369" s="254"/>
      <c r="AL369" s="254"/>
      <c r="AM369" s="254"/>
      <c r="AN369" s="254"/>
      <c r="AO369" s="179"/>
    </row>
    <row r="370" spans="1:41" s="101" customFormat="1" outlineLevel="1">
      <c r="A370" s="477" t="str">
        <f t="shared" si="70"/>
        <v>1</v>
      </c>
      <c r="B370" s="101" t="b">
        <f>'ИП + источники'!$N$14&lt;&gt;"да"</f>
        <v>1</v>
      </c>
      <c r="C370" s="101" t="s">
        <v>1422</v>
      </c>
      <c r="L370" s="258" t="s">
        <v>523</v>
      </c>
      <c r="M370" s="260" t="s">
        <v>428</v>
      </c>
      <c r="N370" s="255" t="s">
        <v>352</v>
      </c>
      <c r="O370" s="254"/>
      <c r="P370" s="254"/>
      <c r="Q370" s="254"/>
      <c r="R370" s="254"/>
      <c r="S370" s="254"/>
      <c r="T370" s="254"/>
      <c r="U370" s="254"/>
      <c r="V370" s="254"/>
      <c r="W370" s="254"/>
      <c r="X370" s="254"/>
      <c r="Y370" s="254"/>
      <c r="Z370" s="254"/>
      <c r="AA370" s="254"/>
      <c r="AB370" s="254"/>
      <c r="AC370" s="254"/>
      <c r="AD370" s="254"/>
      <c r="AE370" s="254"/>
      <c r="AF370" s="254"/>
      <c r="AG370" s="254"/>
      <c r="AH370" s="254"/>
      <c r="AI370" s="254"/>
      <c r="AJ370" s="254"/>
      <c r="AK370" s="254"/>
      <c r="AL370" s="254"/>
      <c r="AM370" s="254"/>
      <c r="AN370" s="254"/>
      <c r="AO370" s="179"/>
    </row>
    <row r="371" spans="1:41" s="101" customFormat="1" outlineLevel="1">
      <c r="A371" s="477" t="str">
        <f t="shared" si="70"/>
        <v>1</v>
      </c>
      <c r="B371" s="101" t="b">
        <f>'ИП + источники'!$N$14&lt;&gt;"да"</f>
        <v>1</v>
      </c>
      <c r="C371" s="101" t="s">
        <v>1519</v>
      </c>
      <c r="L371" s="258" t="s">
        <v>360</v>
      </c>
      <c r="M371" s="259" t="s">
        <v>429</v>
      </c>
      <c r="N371" s="255" t="s">
        <v>352</v>
      </c>
      <c r="O371" s="253">
        <f>O372+O373+O374</f>
        <v>0</v>
      </c>
      <c r="P371" s="253">
        <f t="shared" ref="P371:AN371" si="74">P372+P373+P374</f>
        <v>0</v>
      </c>
      <c r="Q371" s="253">
        <f t="shared" si="74"/>
        <v>0</v>
      </c>
      <c r="R371" s="253">
        <f t="shared" si="74"/>
        <v>0</v>
      </c>
      <c r="S371" s="253">
        <f t="shared" si="74"/>
        <v>0</v>
      </c>
      <c r="T371" s="253">
        <f t="shared" si="74"/>
        <v>0</v>
      </c>
      <c r="U371" s="253">
        <f t="shared" si="74"/>
        <v>0</v>
      </c>
      <c r="V371" s="253">
        <f t="shared" si="74"/>
        <v>0</v>
      </c>
      <c r="W371" s="253">
        <f t="shared" si="74"/>
        <v>0</v>
      </c>
      <c r="X371" s="253">
        <f t="shared" si="74"/>
        <v>0</v>
      </c>
      <c r="Y371" s="253">
        <f t="shared" si="74"/>
        <v>0</v>
      </c>
      <c r="Z371" s="253">
        <f t="shared" si="74"/>
        <v>0</v>
      </c>
      <c r="AA371" s="253">
        <f t="shared" si="74"/>
        <v>0</v>
      </c>
      <c r="AB371" s="253">
        <f t="shared" si="74"/>
        <v>0</v>
      </c>
      <c r="AC371" s="253">
        <f t="shared" si="74"/>
        <v>0</v>
      </c>
      <c r="AD371" s="253">
        <f t="shared" si="74"/>
        <v>0</v>
      </c>
      <c r="AE371" s="253">
        <f t="shared" si="74"/>
        <v>0</v>
      </c>
      <c r="AF371" s="253">
        <f t="shared" si="74"/>
        <v>0</v>
      </c>
      <c r="AG371" s="253">
        <f t="shared" si="74"/>
        <v>0</v>
      </c>
      <c r="AH371" s="253">
        <f t="shared" si="74"/>
        <v>0</v>
      </c>
      <c r="AI371" s="253">
        <f t="shared" si="74"/>
        <v>0</v>
      </c>
      <c r="AJ371" s="253">
        <f t="shared" si="74"/>
        <v>0</v>
      </c>
      <c r="AK371" s="253">
        <f t="shared" si="74"/>
        <v>0</v>
      </c>
      <c r="AL371" s="253">
        <f t="shared" si="74"/>
        <v>0</v>
      </c>
      <c r="AM371" s="253">
        <f t="shared" si="74"/>
        <v>0</v>
      </c>
      <c r="AN371" s="253">
        <f t="shared" si="74"/>
        <v>0</v>
      </c>
      <c r="AO371" s="179"/>
    </row>
    <row r="372" spans="1:41" s="101" customFormat="1" outlineLevel="1">
      <c r="A372" s="477" t="str">
        <f t="shared" si="70"/>
        <v>1</v>
      </c>
      <c r="B372" s="101" t="b">
        <f>'ИП + источники'!$N$14&lt;&gt;"да"</f>
        <v>1</v>
      </c>
      <c r="C372" s="101" t="s">
        <v>1520</v>
      </c>
      <c r="L372" s="258" t="s">
        <v>544</v>
      </c>
      <c r="M372" s="260" t="s">
        <v>430</v>
      </c>
      <c r="N372" s="255" t="s">
        <v>352</v>
      </c>
      <c r="O372" s="254"/>
      <c r="P372" s="254"/>
      <c r="Q372" s="254"/>
      <c r="R372" s="254"/>
      <c r="S372" s="254"/>
      <c r="T372" s="254"/>
      <c r="U372" s="254"/>
      <c r="V372" s="254"/>
      <c r="W372" s="254"/>
      <c r="X372" s="254"/>
      <c r="Y372" s="254"/>
      <c r="Z372" s="254"/>
      <c r="AA372" s="254"/>
      <c r="AB372" s="254"/>
      <c r="AC372" s="254"/>
      <c r="AD372" s="254"/>
      <c r="AE372" s="254"/>
      <c r="AF372" s="254"/>
      <c r="AG372" s="254"/>
      <c r="AH372" s="254"/>
      <c r="AI372" s="254"/>
      <c r="AJ372" s="254"/>
      <c r="AK372" s="254"/>
      <c r="AL372" s="254"/>
      <c r="AM372" s="254"/>
      <c r="AN372" s="254"/>
      <c r="AO372" s="179"/>
    </row>
    <row r="373" spans="1:41" s="101" customFormat="1" outlineLevel="1">
      <c r="A373" s="477" t="str">
        <f t="shared" si="70"/>
        <v>1</v>
      </c>
      <c r="B373" s="101" t="b">
        <f>'ИП + источники'!$N$14&lt;&gt;"да"</f>
        <v>1</v>
      </c>
      <c r="C373" s="101" t="s">
        <v>1521</v>
      </c>
      <c r="L373" s="258" t="s">
        <v>546</v>
      </c>
      <c r="M373" s="260" t="s">
        <v>431</v>
      </c>
      <c r="N373" s="255" t="s">
        <v>352</v>
      </c>
      <c r="O373" s="254"/>
      <c r="P373" s="254"/>
      <c r="Q373" s="254"/>
      <c r="R373" s="254"/>
      <c r="S373" s="254"/>
      <c r="T373" s="254"/>
      <c r="U373" s="254"/>
      <c r="V373" s="254"/>
      <c r="W373" s="254"/>
      <c r="X373" s="254"/>
      <c r="Y373" s="254"/>
      <c r="Z373" s="254"/>
      <c r="AA373" s="254"/>
      <c r="AB373" s="254"/>
      <c r="AC373" s="254"/>
      <c r="AD373" s="254"/>
      <c r="AE373" s="254"/>
      <c r="AF373" s="254"/>
      <c r="AG373" s="254"/>
      <c r="AH373" s="254"/>
      <c r="AI373" s="254"/>
      <c r="AJ373" s="254"/>
      <c r="AK373" s="254"/>
      <c r="AL373" s="254"/>
      <c r="AM373" s="254"/>
      <c r="AN373" s="254"/>
      <c r="AO373" s="179"/>
    </row>
    <row r="374" spans="1:41" s="101" customFormat="1" outlineLevel="1">
      <c r="A374" s="477" t="str">
        <f t="shared" si="70"/>
        <v>1</v>
      </c>
      <c r="B374" s="101" t="b">
        <f>'ИП + источники'!$N$14&lt;&gt;"да"</f>
        <v>1</v>
      </c>
      <c r="C374" s="101" t="s">
        <v>1522</v>
      </c>
      <c r="L374" s="258" t="s">
        <v>548</v>
      </c>
      <c r="M374" s="260" t="s">
        <v>432</v>
      </c>
      <c r="N374" s="255" t="s">
        <v>352</v>
      </c>
      <c r="O374" s="254"/>
      <c r="P374" s="254"/>
      <c r="Q374" s="254"/>
      <c r="R374" s="254"/>
      <c r="S374" s="254"/>
      <c r="T374" s="254"/>
      <c r="U374" s="254"/>
      <c r="V374" s="254"/>
      <c r="W374" s="254"/>
      <c r="X374" s="254"/>
      <c r="Y374" s="254"/>
      <c r="Z374" s="254"/>
      <c r="AA374" s="254"/>
      <c r="AB374" s="254"/>
      <c r="AC374" s="254"/>
      <c r="AD374" s="254"/>
      <c r="AE374" s="254"/>
      <c r="AF374" s="254"/>
      <c r="AG374" s="254"/>
      <c r="AH374" s="254"/>
      <c r="AI374" s="254"/>
      <c r="AJ374" s="254"/>
      <c r="AK374" s="254"/>
      <c r="AL374" s="254"/>
      <c r="AM374" s="254"/>
      <c r="AN374" s="254"/>
      <c r="AO374" s="179"/>
    </row>
    <row r="375" spans="1:41" s="101" customFormat="1" outlineLevel="1">
      <c r="A375" s="477" t="str">
        <f t="shared" si="70"/>
        <v>1</v>
      </c>
      <c r="B375" s="101" t="b">
        <f>'ИП + источники'!$N$14&lt;&gt;"да"</f>
        <v>1</v>
      </c>
      <c r="C375" s="101" t="s">
        <v>1527</v>
      </c>
      <c r="L375" s="258" t="s">
        <v>362</v>
      </c>
      <c r="M375" s="259" t="s">
        <v>433</v>
      </c>
      <c r="N375" s="255" t="s">
        <v>352</v>
      </c>
      <c r="O375" s="253">
        <f>O376+O377+O378+O379</f>
        <v>0</v>
      </c>
      <c r="P375" s="253">
        <f t="shared" ref="P375:AN375" si="75">P376+P377+P378+P379</f>
        <v>0</v>
      </c>
      <c r="Q375" s="253">
        <f t="shared" si="75"/>
        <v>0</v>
      </c>
      <c r="R375" s="253">
        <f t="shared" si="75"/>
        <v>0</v>
      </c>
      <c r="S375" s="253">
        <f t="shared" si="75"/>
        <v>0</v>
      </c>
      <c r="T375" s="253">
        <f t="shared" si="75"/>
        <v>0</v>
      </c>
      <c r="U375" s="253">
        <f t="shared" si="75"/>
        <v>0</v>
      </c>
      <c r="V375" s="253">
        <f t="shared" si="75"/>
        <v>0</v>
      </c>
      <c r="W375" s="253">
        <f t="shared" si="75"/>
        <v>0</v>
      </c>
      <c r="X375" s="253">
        <f t="shared" si="75"/>
        <v>0</v>
      </c>
      <c r="Y375" s="253">
        <f t="shared" si="75"/>
        <v>0</v>
      </c>
      <c r="Z375" s="253">
        <f t="shared" si="75"/>
        <v>0</v>
      </c>
      <c r="AA375" s="253">
        <f t="shared" si="75"/>
        <v>0</v>
      </c>
      <c r="AB375" s="253">
        <f t="shared" si="75"/>
        <v>0</v>
      </c>
      <c r="AC375" s="253">
        <f t="shared" si="75"/>
        <v>0</v>
      </c>
      <c r="AD375" s="253">
        <f t="shared" si="75"/>
        <v>0</v>
      </c>
      <c r="AE375" s="253">
        <f t="shared" si="75"/>
        <v>0</v>
      </c>
      <c r="AF375" s="253">
        <f t="shared" si="75"/>
        <v>0</v>
      </c>
      <c r="AG375" s="253">
        <f t="shared" si="75"/>
        <v>0</v>
      </c>
      <c r="AH375" s="253">
        <f t="shared" si="75"/>
        <v>0</v>
      </c>
      <c r="AI375" s="253">
        <f t="shared" si="75"/>
        <v>0</v>
      </c>
      <c r="AJ375" s="253">
        <f t="shared" si="75"/>
        <v>0</v>
      </c>
      <c r="AK375" s="253">
        <f t="shared" si="75"/>
        <v>0</v>
      </c>
      <c r="AL375" s="253">
        <f t="shared" si="75"/>
        <v>0</v>
      </c>
      <c r="AM375" s="253">
        <f t="shared" si="75"/>
        <v>0</v>
      </c>
      <c r="AN375" s="253">
        <f t="shared" si="75"/>
        <v>0</v>
      </c>
      <c r="AO375" s="179"/>
    </row>
    <row r="376" spans="1:41" s="101" customFormat="1" outlineLevel="1">
      <c r="A376" s="477" t="str">
        <f t="shared" si="70"/>
        <v>1</v>
      </c>
      <c r="B376" s="101" t="b">
        <f>'ИП + источники'!$N$14&lt;&gt;"да"</f>
        <v>1</v>
      </c>
      <c r="C376" s="101" t="s">
        <v>1529</v>
      </c>
      <c r="L376" s="258" t="s">
        <v>551</v>
      </c>
      <c r="M376" s="260" t="s">
        <v>434</v>
      </c>
      <c r="N376" s="255" t="s">
        <v>352</v>
      </c>
      <c r="O376" s="254"/>
      <c r="P376" s="254"/>
      <c r="Q376" s="254"/>
      <c r="R376" s="254"/>
      <c r="S376" s="254"/>
      <c r="T376" s="254"/>
      <c r="U376" s="254"/>
      <c r="V376" s="254"/>
      <c r="W376" s="254"/>
      <c r="X376" s="254"/>
      <c r="Y376" s="254"/>
      <c r="Z376" s="254"/>
      <c r="AA376" s="254"/>
      <c r="AB376" s="254"/>
      <c r="AC376" s="254"/>
      <c r="AD376" s="254"/>
      <c r="AE376" s="254"/>
      <c r="AF376" s="254"/>
      <c r="AG376" s="254"/>
      <c r="AH376" s="254"/>
      <c r="AI376" s="254"/>
      <c r="AJ376" s="254"/>
      <c r="AK376" s="254"/>
      <c r="AL376" s="254"/>
      <c r="AM376" s="254"/>
      <c r="AN376" s="254"/>
      <c r="AO376" s="179"/>
    </row>
    <row r="377" spans="1:41" s="101" customFormat="1" ht="22.8" outlineLevel="1">
      <c r="A377" s="477" t="str">
        <f t="shared" si="70"/>
        <v>1</v>
      </c>
      <c r="B377" s="101" t="b">
        <f>'ИП + источники'!$N$14&lt;&gt;"да"</f>
        <v>1</v>
      </c>
      <c r="C377" s="101" t="s">
        <v>1544</v>
      </c>
      <c r="L377" s="258" t="s">
        <v>565</v>
      </c>
      <c r="M377" s="260" t="s">
        <v>1150</v>
      </c>
      <c r="N377" s="255" t="s">
        <v>352</v>
      </c>
      <c r="O377" s="254"/>
      <c r="P377" s="254"/>
      <c r="Q377" s="254"/>
      <c r="R377" s="254"/>
      <c r="S377" s="254"/>
      <c r="T377" s="254"/>
      <c r="U377" s="254"/>
      <c r="V377" s="254"/>
      <c r="W377" s="254"/>
      <c r="X377" s="254"/>
      <c r="Y377" s="254"/>
      <c r="Z377" s="254"/>
      <c r="AA377" s="254"/>
      <c r="AB377" s="254"/>
      <c r="AC377" s="254"/>
      <c r="AD377" s="254"/>
      <c r="AE377" s="254"/>
      <c r="AF377" s="254"/>
      <c r="AG377" s="254"/>
      <c r="AH377" s="254"/>
      <c r="AI377" s="254"/>
      <c r="AJ377" s="254"/>
      <c r="AK377" s="254"/>
      <c r="AL377" s="254"/>
      <c r="AM377" s="254"/>
      <c r="AN377" s="254"/>
      <c r="AO377" s="179"/>
    </row>
    <row r="378" spans="1:41" s="101" customFormat="1" ht="22.8" outlineLevel="1">
      <c r="A378" s="477" t="str">
        <f t="shared" si="70"/>
        <v>1</v>
      </c>
      <c r="B378" s="101" t="b">
        <f>'ИП + источники'!$N$14&lt;&gt;"да"</f>
        <v>1</v>
      </c>
      <c r="C378" s="101" t="s">
        <v>1550</v>
      </c>
      <c r="L378" s="258" t="s">
        <v>569</v>
      </c>
      <c r="M378" s="260" t="s">
        <v>435</v>
      </c>
      <c r="N378" s="255" t="s">
        <v>352</v>
      </c>
      <c r="O378" s="254"/>
      <c r="P378" s="254"/>
      <c r="Q378" s="254"/>
      <c r="R378" s="254"/>
      <c r="S378" s="254"/>
      <c r="T378" s="254"/>
      <c r="U378" s="254"/>
      <c r="V378" s="254"/>
      <c r="W378" s="254"/>
      <c r="X378" s="254"/>
      <c r="Y378" s="254"/>
      <c r="Z378" s="254"/>
      <c r="AA378" s="254"/>
      <c r="AB378" s="254"/>
      <c r="AC378" s="254"/>
      <c r="AD378" s="254"/>
      <c r="AE378" s="254"/>
      <c r="AF378" s="254"/>
      <c r="AG378" s="254"/>
      <c r="AH378" s="254"/>
      <c r="AI378" s="254"/>
      <c r="AJ378" s="254"/>
      <c r="AK378" s="254"/>
      <c r="AL378" s="254"/>
      <c r="AM378" s="254"/>
      <c r="AN378" s="254"/>
      <c r="AO378" s="179"/>
    </row>
    <row r="379" spans="1:41" s="101" customFormat="1" outlineLevel="1">
      <c r="A379" s="477" t="str">
        <f t="shared" si="70"/>
        <v>1</v>
      </c>
      <c r="B379" s="101" t="b">
        <f>'ИП + источники'!$N$14&lt;&gt;"да"</f>
        <v>1</v>
      </c>
      <c r="C379" s="101" t="s">
        <v>1552</v>
      </c>
      <c r="L379" s="258" t="s">
        <v>571</v>
      </c>
      <c r="M379" s="260" t="s">
        <v>436</v>
      </c>
      <c r="N379" s="255" t="s">
        <v>352</v>
      </c>
      <c r="O379" s="254"/>
      <c r="P379" s="254"/>
      <c r="Q379" s="254"/>
      <c r="R379" s="254"/>
      <c r="S379" s="254"/>
      <c r="T379" s="254"/>
      <c r="U379" s="254"/>
      <c r="V379" s="254"/>
      <c r="W379" s="254"/>
      <c r="X379" s="254"/>
      <c r="Y379" s="254"/>
      <c r="Z379" s="254"/>
      <c r="AA379" s="254"/>
      <c r="AB379" s="254"/>
      <c r="AC379" s="254"/>
      <c r="AD379" s="254"/>
      <c r="AE379" s="254"/>
      <c r="AF379" s="254"/>
      <c r="AG379" s="254"/>
      <c r="AH379" s="254"/>
      <c r="AI379" s="254"/>
      <c r="AJ379" s="254"/>
      <c r="AK379" s="254"/>
      <c r="AL379" s="254"/>
      <c r="AM379" s="254"/>
      <c r="AN379" s="254"/>
      <c r="AO379" s="179"/>
    </row>
    <row r="380" spans="1:41" s="263" customFormat="1" ht="22.8" outlineLevel="1">
      <c r="A380" s="477" t="str">
        <f t="shared" si="70"/>
        <v>1</v>
      </c>
      <c r="B380" s="101" t="b">
        <f>'ИП + источники'!$N$14&lt;&gt;"да"</f>
        <v>1</v>
      </c>
      <c r="C380" s="101" t="s">
        <v>1438</v>
      </c>
      <c r="L380" s="261" t="s">
        <v>102</v>
      </c>
      <c r="M380" s="257" t="s">
        <v>437</v>
      </c>
      <c r="N380" s="262" t="s">
        <v>352</v>
      </c>
      <c r="O380" s="252">
        <f>O381+O382+O383</f>
        <v>0</v>
      </c>
      <c r="P380" s="252">
        <f t="shared" ref="P380:AN380" si="76">P381+P382+P383</f>
        <v>0</v>
      </c>
      <c r="Q380" s="252">
        <f t="shared" si="76"/>
        <v>0</v>
      </c>
      <c r="R380" s="252">
        <f t="shared" si="76"/>
        <v>0</v>
      </c>
      <c r="S380" s="252">
        <f t="shared" si="76"/>
        <v>0</v>
      </c>
      <c r="T380" s="252">
        <f t="shared" si="76"/>
        <v>0</v>
      </c>
      <c r="U380" s="252">
        <f t="shared" si="76"/>
        <v>0</v>
      </c>
      <c r="V380" s="252">
        <f t="shared" si="76"/>
        <v>0</v>
      </c>
      <c r="W380" s="252">
        <f t="shared" si="76"/>
        <v>0</v>
      </c>
      <c r="X380" s="252">
        <f t="shared" si="76"/>
        <v>0</v>
      </c>
      <c r="Y380" s="252">
        <f t="shared" si="76"/>
        <v>0</v>
      </c>
      <c r="Z380" s="252">
        <f t="shared" si="76"/>
        <v>0</v>
      </c>
      <c r="AA380" s="252">
        <f t="shared" si="76"/>
        <v>0</v>
      </c>
      <c r="AB380" s="252">
        <f t="shared" si="76"/>
        <v>0</v>
      </c>
      <c r="AC380" s="252">
        <f t="shared" si="76"/>
        <v>0</v>
      </c>
      <c r="AD380" s="252">
        <f t="shared" si="76"/>
        <v>0</v>
      </c>
      <c r="AE380" s="252">
        <f t="shared" si="76"/>
        <v>0</v>
      </c>
      <c r="AF380" s="252">
        <f t="shared" si="76"/>
        <v>0</v>
      </c>
      <c r="AG380" s="252">
        <f t="shared" si="76"/>
        <v>0</v>
      </c>
      <c r="AH380" s="252">
        <f t="shared" si="76"/>
        <v>0</v>
      </c>
      <c r="AI380" s="252">
        <f t="shared" si="76"/>
        <v>0</v>
      </c>
      <c r="AJ380" s="252">
        <f t="shared" si="76"/>
        <v>0</v>
      </c>
      <c r="AK380" s="252">
        <f t="shared" si="76"/>
        <v>0</v>
      </c>
      <c r="AL380" s="252">
        <f t="shared" si="76"/>
        <v>0</v>
      </c>
      <c r="AM380" s="252">
        <f t="shared" si="76"/>
        <v>0</v>
      </c>
      <c r="AN380" s="252">
        <f t="shared" si="76"/>
        <v>0</v>
      </c>
      <c r="AO380" s="179"/>
    </row>
    <row r="381" spans="1:41" s="101" customFormat="1" outlineLevel="1">
      <c r="A381" s="477" t="str">
        <f t="shared" si="70"/>
        <v>1</v>
      </c>
      <c r="B381" s="101" t="b">
        <f>'ИП + источники'!$N$14&lt;&gt;"да"</f>
        <v>1</v>
      </c>
      <c r="C381" s="101" t="s">
        <v>1439</v>
      </c>
      <c r="L381" s="258" t="s">
        <v>17</v>
      </c>
      <c r="M381" s="259" t="s">
        <v>1161</v>
      </c>
      <c r="N381" s="255" t="s">
        <v>352</v>
      </c>
      <c r="O381" s="254"/>
      <c r="P381" s="254"/>
      <c r="Q381" s="254"/>
      <c r="R381" s="254"/>
      <c r="S381" s="254"/>
      <c r="T381" s="254"/>
      <c r="U381" s="254"/>
      <c r="V381" s="254"/>
      <c r="W381" s="254"/>
      <c r="X381" s="254"/>
      <c r="Y381" s="254"/>
      <c r="Z381" s="254"/>
      <c r="AA381" s="254"/>
      <c r="AB381" s="254"/>
      <c r="AC381" s="254"/>
      <c r="AD381" s="254"/>
      <c r="AE381" s="254"/>
      <c r="AF381" s="254"/>
      <c r="AG381" s="254"/>
      <c r="AH381" s="254"/>
      <c r="AI381" s="254"/>
      <c r="AJ381" s="254"/>
      <c r="AK381" s="254"/>
      <c r="AL381" s="254"/>
      <c r="AM381" s="254"/>
      <c r="AN381" s="254"/>
      <c r="AO381" s="179"/>
    </row>
    <row r="382" spans="1:41" s="101" customFormat="1" outlineLevel="1">
      <c r="A382" s="477" t="str">
        <f t="shared" si="70"/>
        <v>1</v>
      </c>
      <c r="B382" s="101" t="b">
        <f>'ИП + источники'!$N$14&lt;&gt;"да"</f>
        <v>1</v>
      </c>
      <c r="C382" s="101" t="s">
        <v>1576</v>
      </c>
      <c r="L382" s="258" t="s">
        <v>138</v>
      </c>
      <c r="M382" s="259" t="s">
        <v>1162</v>
      </c>
      <c r="N382" s="255" t="s">
        <v>352</v>
      </c>
      <c r="O382" s="254"/>
      <c r="P382" s="254"/>
      <c r="Q382" s="254"/>
      <c r="R382" s="254"/>
      <c r="S382" s="254"/>
      <c r="T382" s="254"/>
      <c r="U382" s="254"/>
      <c r="V382" s="254"/>
      <c r="W382" s="254"/>
      <c r="X382" s="254"/>
      <c r="Y382" s="254"/>
      <c r="Z382" s="254"/>
      <c r="AA382" s="254"/>
      <c r="AB382" s="254"/>
      <c r="AC382" s="254"/>
      <c r="AD382" s="254"/>
      <c r="AE382" s="254"/>
      <c r="AF382" s="254"/>
      <c r="AG382" s="254"/>
      <c r="AH382" s="254"/>
      <c r="AI382" s="254"/>
      <c r="AJ382" s="254"/>
      <c r="AK382" s="254"/>
      <c r="AL382" s="254"/>
      <c r="AM382" s="254"/>
      <c r="AN382" s="254"/>
      <c r="AO382" s="179"/>
    </row>
    <row r="383" spans="1:41" s="101" customFormat="1" outlineLevel="1">
      <c r="A383" s="477" t="str">
        <f t="shared" si="70"/>
        <v>1</v>
      </c>
      <c r="B383" s="101" t="b">
        <f>'ИП + источники'!$N$14&lt;&gt;"да"</f>
        <v>1</v>
      </c>
      <c r="C383" s="101" t="s">
        <v>1577</v>
      </c>
      <c r="L383" s="258" t="s">
        <v>151</v>
      </c>
      <c r="M383" s="259" t="s">
        <v>438</v>
      </c>
      <c r="N383" s="255" t="s">
        <v>352</v>
      </c>
      <c r="O383" s="254"/>
      <c r="P383" s="254"/>
      <c r="Q383" s="254"/>
      <c r="R383" s="254"/>
      <c r="S383" s="254"/>
      <c r="T383" s="254"/>
      <c r="U383" s="254"/>
      <c r="V383" s="254"/>
      <c r="W383" s="254"/>
      <c r="X383" s="254"/>
      <c r="Y383" s="254"/>
      <c r="Z383" s="254"/>
      <c r="AA383" s="254"/>
      <c r="AB383" s="254"/>
      <c r="AC383" s="254"/>
      <c r="AD383" s="254"/>
      <c r="AE383" s="254"/>
      <c r="AF383" s="254"/>
      <c r="AG383" s="254"/>
      <c r="AH383" s="254"/>
      <c r="AI383" s="254"/>
      <c r="AJ383" s="254"/>
      <c r="AK383" s="254"/>
      <c r="AL383" s="254"/>
      <c r="AM383" s="254"/>
      <c r="AN383" s="254"/>
      <c r="AO383" s="179"/>
    </row>
    <row r="384" spans="1:41">
      <c r="A384" s="477"/>
    </row>
    <row r="385" spans="1:35" s="131" customFormat="1" ht="30" customHeight="1">
      <c r="A385" s="130" t="s">
        <v>1064</v>
      </c>
      <c r="M385" s="132"/>
      <c r="N385" s="132"/>
      <c r="O385" s="132"/>
      <c r="P385" s="132"/>
      <c r="AA385" s="133"/>
    </row>
    <row r="386" spans="1:35">
      <c r="A386" s="134" t="s">
        <v>1065</v>
      </c>
    </row>
    <row r="387" spans="1:35" s="80" customFormat="1">
      <c r="A387" s="168" t="s">
        <v>18</v>
      </c>
      <c r="L387" s="264" t="str">
        <f>INDEX('Общие сведения'!$J$114:$J$140,MATCH($A387,'Общие сведения'!$D$114:$D$140,0))</f>
        <v>Тариф 1 (Водоотведение) - тариф на транспортировку сточных вод</v>
      </c>
      <c r="M387" s="265"/>
      <c r="N387" s="265"/>
      <c r="O387" s="265"/>
      <c r="P387" s="265"/>
      <c r="Q387" s="265"/>
      <c r="R387" s="265"/>
      <c r="S387" s="265"/>
      <c r="T387" s="265"/>
      <c r="U387" s="265"/>
      <c r="V387" s="265"/>
      <c r="W387" s="265"/>
      <c r="X387" s="265"/>
      <c r="Y387" s="265"/>
      <c r="Z387" s="265"/>
      <c r="AA387" s="265"/>
      <c r="AB387" s="265"/>
      <c r="AC387" s="265"/>
      <c r="AD387" s="265"/>
      <c r="AE387" s="265"/>
      <c r="AF387" s="265"/>
      <c r="AG387" s="265"/>
      <c r="AH387" s="265"/>
      <c r="AI387" s="265"/>
    </row>
    <row r="388" spans="1:35" s="263" customFormat="1" outlineLevel="1">
      <c r="A388" s="477" t="str">
        <f t="shared" ref="A388:A394" si="77">A387</f>
        <v>1</v>
      </c>
      <c r="B388" s="101" t="s">
        <v>1406</v>
      </c>
      <c r="L388" s="279" t="s">
        <v>18</v>
      </c>
      <c r="M388" s="270" t="s">
        <v>440</v>
      </c>
      <c r="N388" s="271" t="s">
        <v>352</v>
      </c>
      <c r="O388" s="275">
        <f t="shared" ref="O388:AH388" si="78">O389+O390+O391</f>
        <v>0</v>
      </c>
      <c r="P388" s="276">
        <f t="shared" si="78"/>
        <v>0</v>
      </c>
      <c r="Q388" s="276">
        <f t="shared" si="78"/>
        <v>0</v>
      </c>
      <c r="R388" s="276">
        <f t="shared" si="78"/>
        <v>0</v>
      </c>
      <c r="S388" s="276">
        <f t="shared" si="78"/>
        <v>0</v>
      </c>
      <c r="T388" s="276">
        <f t="shared" si="78"/>
        <v>0</v>
      </c>
      <c r="U388" s="276">
        <f t="shared" si="78"/>
        <v>0</v>
      </c>
      <c r="V388" s="276">
        <f t="shared" si="78"/>
        <v>0</v>
      </c>
      <c r="W388" s="276">
        <f t="shared" si="78"/>
        <v>0</v>
      </c>
      <c r="X388" s="276">
        <f t="shared" si="78"/>
        <v>0</v>
      </c>
      <c r="Y388" s="275">
        <f t="shared" si="78"/>
        <v>0</v>
      </c>
      <c r="Z388" s="276">
        <f t="shared" si="78"/>
        <v>0</v>
      </c>
      <c r="AA388" s="276">
        <f t="shared" si="78"/>
        <v>0</v>
      </c>
      <c r="AB388" s="276">
        <f t="shared" si="78"/>
        <v>0</v>
      </c>
      <c r="AC388" s="276">
        <f t="shared" si="78"/>
        <v>0</v>
      </c>
      <c r="AD388" s="276">
        <f t="shared" si="78"/>
        <v>0</v>
      </c>
      <c r="AE388" s="276">
        <f t="shared" si="78"/>
        <v>0</v>
      </c>
      <c r="AF388" s="276">
        <f t="shared" si="78"/>
        <v>0</v>
      </c>
      <c r="AG388" s="276">
        <f t="shared" si="78"/>
        <v>0</v>
      </c>
      <c r="AH388" s="276">
        <f t="shared" si="78"/>
        <v>0</v>
      </c>
      <c r="AI388" s="179"/>
    </row>
    <row r="389" spans="1:35" s="101" customFormat="1" outlineLevel="1">
      <c r="A389" s="477" t="str">
        <f t="shared" si="77"/>
        <v>1</v>
      </c>
      <c r="B389" s="101" t="s">
        <v>1407</v>
      </c>
      <c r="L389" s="266" t="s">
        <v>149</v>
      </c>
      <c r="M389" s="274" t="s">
        <v>441</v>
      </c>
      <c r="N389" s="273" t="s">
        <v>352</v>
      </c>
      <c r="O389" s="277"/>
      <c r="P389" s="278"/>
      <c r="Q389" s="278"/>
      <c r="R389" s="278"/>
      <c r="S389" s="278"/>
      <c r="T389" s="278"/>
      <c r="U389" s="278"/>
      <c r="V389" s="278"/>
      <c r="W389" s="278"/>
      <c r="X389" s="278"/>
      <c r="Y389" s="277"/>
      <c r="Z389" s="278"/>
      <c r="AA389" s="278"/>
      <c r="AB389" s="278"/>
      <c r="AC389" s="278"/>
      <c r="AD389" s="278"/>
      <c r="AE389" s="278"/>
      <c r="AF389" s="278"/>
      <c r="AG389" s="278"/>
      <c r="AH389" s="278"/>
      <c r="AI389" s="179"/>
    </row>
    <row r="390" spans="1:35" s="101" customFormat="1" ht="22.8" outlineLevel="1">
      <c r="A390" s="477" t="str">
        <f t="shared" si="77"/>
        <v>1</v>
      </c>
      <c r="B390" s="101" t="s">
        <v>1408</v>
      </c>
      <c r="L390" s="266" t="s">
        <v>150</v>
      </c>
      <c r="M390" s="274" t="s">
        <v>442</v>
      </c>
      <c r="N390" s="273" t="s">
        <v>352</v>
      </c>
      <c r="O390" s="277"/>
      <c r="P390" s="278"/>
      <c r="Q390" s="278"/>
      <c r="R390" s="278"/>
      <c r="S390" s="278"/>
      <c r="T390" s="278"/>
      <c r="U390" s="278"/>
      <c r="V390" s="278"/>
      <c r="W390" s="278"/>
      <c r="X390" s="278"/>
      <c r="Y390" s="277"/>
      <c r="Z390" s="278"/>
      <c r="AA390" s="278"/>
      <c r="AB390" s="278"/>
      <c r="AC390" s="278"/>
      <c r="AD390" s="278"/>
      <c r="AE390" s="278"/>
      <c r="AF390" s="278"/>
      <c r="AG390" s="278"/>
      <c r="AH390" s="278"/>
      <c r="AI390" s="179"/>
    </row>
    <row r="391" spans="1:35" s="101" customFormat="1" ht="22.8" outlineLevel="1">
      <c r="A391" s="477" t="str">
        <f t="shared" si="77"/>
        <v>1</v>
      </c>
      <c r="B391" s="101" t="s">
        <v>1519</v>
      </c>
      <c r="L391" s="266" t="s">
        <v>360</v>
      </c>
      <c r="M391" s="274" t="s">
        <v>443</v>
      </c>
      <c r="N391" s="273" t="s">
        <v>352</v>
      </c>
      <c r="O391" s="277"/>
      <c r="P391" s="278"/>
      <c r="Q391" s="278"/>
      <c r="R391" s="278"/>
      <c r="S391" s="278"/>
      <c r="T391" s="278"/>
      <c r="U391" s="278"/>
      <c r="V391" s="278"/>
      <c r="W391" s="278"/>
      <c r="X391" s="278"/>
      <c r="Y391" s="277"/>
      <c r="Z391" s="278"/>
      <c r="AA391" s="278"/>
      <c r="AB391" s="278"/>
      <c r="AC391" s="278"/>
      <c r="AD391" s="278"/>
      <c r="AE391" s="278"/>
      <c r="AF391" s="278"/>
      <c r="AG391" s="278"/>
      <c r="AH391" s="278"/>
      <c r="AI391" s="179"/>
    </row>
    <row r="392" spans="1:35" s="101" customFormat="1" outlineLevel="1">
      <c r="A392" s="477" t="str">
        <f t="shared" si="77"/>
        <v>1</v>
      </c>
      <c r="B392" s="101" t="s">
        <v>1438</v>
      </c>
      <c r="L392" s="266" t="s">
        <v>102</v>
      </c>
      <c r="M392" s="272" t="s">
        <v>444</v>
      </c>
      <c r="N392" s="273" t="s">
        <v>137</v>
      </c>
      <c r="O392" s="336">
        <f>SUMIFS(Сценарии!$T$15:$T$53,Сценарии!$A$15:$A$53,$A392,Сценарии!$M$15:$M$53,"Индекс потребительских цен")</f>
        <v>7.2</v>
      </c>
      <c r="P392" s="336">
        <f>SUMIFS(Сценарии!$Y$15:$Y$53,Сценарии!$A$15:$A$53,$A392,Сценарии!$M$15:$M$53,"Индекс потребительских цен")</f>
        <v>0</v>
      </c>
      <c r="Q392" s="336">
        <f>SUMIFS(Сценарии!$AA$15:$AA$53,Сценарии!$A$15:$A$53,$A392,Сценарии!$M$15:$M$53,"Индекс потребительских цен")</f>
        <v>0</v>
      </c>
      <c r="R392" s="336">
        <f>SUMIFS(Сценарии!$AC$15:$AC$53,Сценарии!$A$15:$A$53,$A392,Сценарии!$M$15:$M$53,"Индекс потребительских цен")</f>
        <v>0</v>
      </c>
      <c r="S392" s="336">
        <f>SUMIFS(Сценарии!$AE$15:$AE$53,Сценарии!$A$15:$A$53,$A392,Сценарии!$M$15:$M$53,"Индекс потребительских цен")</f>
        <v>0</v>
      </c>
      <c r="T392" s="336">
        <f>SUMIFS(Сценарии!$AG$15:$AG$53,Сценарии!$A$15:$A$53,$A392,Сценарии!$M$15:$M$53,"Индекс потребительских цен")</f>
        <v>0</v>
      </c>
      <c r="U392" s="336">
        <f>SUMIFS(Сценарии!$AI$15:$AI$53,Сценарии!$A$15:$A$53,$A392,Сценарии!$M$15:$M$53,"Индекс потребительских цен")</f>
        <v>0</v>
      </c>
      <c r="V392" s="336">
        <f>SUMIFS(Сценарии!$AK$15:$AK$53,Сценарии!$A$15:$A$53,$A392,Сценарии!$M$15:$M$53,"Индекс потребительских цен")</f>
        <v>0</v>
      </c>
      <c r="W392" s="336">
        <f>SUMIFS(Сценарии!$AM$15:$AM$53,Сценарии!$A$15:$A$53,$A392,Сценарии!$M$15:$M$53,"Индекс потребительских цен")</f>
        <v>0</v>
      </c>
      <c r="X392" s="336">
        <f>SUMIFS(Сценарии!$AO$15:$AO$53,Сценарии!$A$15:$A$53,$A392,Сценарии!$M$15:$M$53,"Индекс потребительских цен")</f>
        <v>0</v>
      </c>
      <c r="Y392" s="336">
        <f>SUMIFS(Сценарии!$U$15:$U$53,Сценарии!$A$15:$A$53,$A392,Сценарии!$M$15:$M$53,"Индекс потребительских цен")</f>
        <v>7.2</v>
      </c>
      <c r="Z392" s="336">
        <f>SUMIFS(Сценарии!$Z$15:$Z$53,Сценарии!$A$15:$A$53,$A392,Сценарии!$M$15:$M$53,"Индекс потребительских цен")</f>
        <v>0</v>
      </c>
      <c r="AA392" s="336">
        <f>SUMIFS(Сценарии!$AB$15:$AB$53,Сценарии!$A$15:$A$53,$A392,Сценарии!$M$15:$M$53,"Индекс потребительских цен")</f>
        <v>0</v>
      </c>
      <c r="AB392" s="336">
        <f>SUMIFS(Сценарии!$AD$15:$AD$53,Сценарии!$A$15:$A$53,$A392,Сценарии!$M$15:$M$53,"Индекс потребительских цен")</f>
        <v>0</v>
      </c>
      <c r="AC392" s="336">
        <f>SUMIFS(Сценарии!$AF$15:$AF$53,Сценарии!$A$15:$A$53,$A392,Сценарии!$M$15:$M$53,"Индекс потребительских цен")</f>
        <v>0</v>
      </c>
      <c r="AD392" s="336">
        <f>SUMIFS(Сценарии!$AH$15:$AH$53,Сценарии!$A$15:$A$53,$A392,Сценарии!$M$15:$M$53,"Индекс потребительских цен")</f>
        <v>0</v>
      </c>
      <c r="AE392" s="336">
        <f>SUMIFS(Сценарии!$AJ$15:$AJ$53,Сценарии!$A$15:$A$53,$A392,Сценарии!$M$15:$M$53,"Индекс потребительских цен")</f>
        <v>0</v>
      </c>
      <c r="AF392" s="336">
        <f>SUMIFS(Сценарии!$AL$15:$AL$53,Сценарии!$A$15:$A$53,$A392,Сценарии!$M$15:$M$53,"Индекс потребительских цен")</f>
        <v>0</v>
      </c>
      <c r="AG392" s="336">
        <f>SUMIFS(Сценарии!$AN$15:$AN$53,Сценарии!$A$15:$A$53,$A392,Сценарии!$M$15:$M$53,"Индекс потребительских цен")</f>
        <v>0</v>
      </c>
      <c r="AH392" s="336">
        <f>SUMIFS(Сценарии!$AP$15:$AP$53,Сценарии!$A$15:$A$53,$A392,Сценарии!$M$15:$M$53,"Индекс потребительских цен")</f>
        <v>0</v>
      </c>
      <c r="AI392" s="179"/>
    </row>
    <row r="393" spans="1:35" s="101" customFormat="1" outlineLevel="1">
      <c r="A393" s="477" t="str">
        <f t="shared" si="77"/>
        <v>1</v>
      </c>
      <c r="B393" s="101" t="s">
        <v>1442</v>
      </c>
      <c r="L393" s="268">
        <v>3</v>
      </c>
      <c r="M393" s="272" t="s">
        <v>445</v>
      </c>
      <c r="N393" s="273" t="s">
        <v>137</v>
      </c>
      <c r="O393" s="413">
        <f>O392</f>
        <v>7.2</v>
      </c>
      <c r="P393" s="414">
        <f>O393*P392/100</f>
        <v>0</v>
      </c>
      <c r="Q393" s="414">
        <f t="shared" ref="Q393:AH393" si="79">P393*Q392/100</f>
        <v>0</v>
      </c>
      <c r="R393" s="414">
        <f t="shared" si="79"/>
        <v>0</v>
      </c>
      <c r="S393" s="414">
        <f t="shared" si="79"/>
        <v>0</v>
      </c>
      <c r="T393" s="414">
        <f t="shared" si="79"/>
        <v>0</v>
      </c>
      <c r="U393" s="414">
        <f t="shared" si="79"/>
        <v>0</v>
      </c>
      <c r="V393" s="414">
        <f t="shared" si="79"/>
        <v>0</v>
      </c>
      <c r="W393" s="414">
        <f t="shared" si="79"/>
        <v>0</v>
      </c>
      <c r="X393" s="414">
        <f t="shared" si="79"/>
        <v>0</v>
      </c>
      <c r="Y393" s="414">
        <f t="shared" si="79"/>
        <v>0</v>
      </c>
      <c r="Z393" s="414">
        <f t="shared" si="79"/>
        <v>0</v>
      </c>
      <c r="AA393" s="414">
        <f t="shared" si="79"/>
        <v>0</v>
      </c>
      <c r="AB393" s="414">
        <f t="shared" si="79"/>
        <v>0</v>
      </c>
      <c r="AC393" s="414">
        <f t="shared" si="79"/>
        <v>0</v>
      </c>
      <c r="AD393" s="414">
        <f t="shared" si="79"/>
        <v>0</v>
      </c>
      <c r="AE393" s="414">
        <f t="shared" si="79"/>
        <v>0</v>
      </c>
      <c r="AF393" s="414">
        <f t="shared" si="79"/>
        <v>0</v>
      </c>
      <c r="AG393" s="414">
        <f t="shared" si="79"/>
        <v>0</v>
      </c>
      <c r="AH393" s="414">
        <f t="shared" si="79"/>
        <v>0</v>
      </c>
      <c r="AI393" s="179"/>
    </row>
    <row r="394" spans="1:35" s="263" customFormat="1" outlineLevel="1">
      <c r="A394" s="477" t="str">
        <f t="shared" si="77"/>
        <v>1</v>
      </c>
      <c r="B394" s="101" t="s">
        <v>1444</v>
      </c>
      <c r="L394" s="279" t="s">
        <v>104</v>
      </c>
      <c r="M394" s="270" t="s">
        <v>446</v>
      </c>
      <c r="N394" s="271" t="s">
        <v>352</v>
      </c>
      <c r="O394" s="275">
        <f>O388*O393/100</f>
        <v>0</v>
      </c>
      <c r="P394" s="275">
        <f t="shared" ref="P394:AH394" si="80">P388*P393/100</f>
        <v>0</v>
      </c>
      <c r="Q394" s="275">
        <f t="shared" si="80"/>
        <v>0</v>
      </c>
      <c r="R394" s="275">
        <f t="shared" si="80"/>
        <v>0</v>
      </c>
      <c r="S394" s="275">
        <f t="shared" si="80"/>
        <v>0</v>
      </c>
      <c r="T394" s="275">
        <f t="shared" si="80"/>
        <v>0</v>
      </c>
      <c r="U394" s="275">
        <f t="shared" si="80"/>
        <v>0</v>
      </c>
      <c r="V394" s="275">
        <f t="shared" si="80"/>
        <v>0</v>
      </c>
      <c r="W394" s="275">
        <f t="shared" si="80"/>
        <v>0</v>
      </c>
      <c r="X394" s="275">
        <f t="shared" si="80"/>
        <v>0</v>
      </c>
      <c r="Y394" s="275">
        <f t="shared" si="80"/>
        <v>0</v>
      </c>
      <c r="Z394" s="275">
        <f t="shared" si="80"/>
        <v>0</v>
      </c>
      <c r="AA394" s="275">
        <f t="shared" si="80"/>
        <v>0</v>
      </c>
      <c r="AB394" s="275">
        <f t="shared" si="80"/>
        <v>0</v>
      </c>
      <c r="AC394" s="275">
        <f t="shared" si="80"/>
        <v>0</v>
      </c>
      <c r="AD394" s="275">
        <f t="shared" si="80"/>
        <v>0</v>
      </c>
      <c r="AE394" s="275">
        <f t="shared" si="80"/>
        <v>0</v>
      </c>
      <c r="AF394" s="275">
        <f t="shared" si="80"/>
        <v>0</v>
      </c>
      <c r="AG394" s="275">
        <f t="shared" si="80"/>
        <v>0</v>
      </c>
      <c r="AH394" s="275">
        <f t="shared" si="80"/>
        <v>0</v>
      </c>
      <c r="AI394" s="179"/>
    </row>
    <row r="395" spans="1:35">
      <c r="B395" s="484"/>
      <c r="C395" s="484"/>
      <c r="D395" s="484"/>
    </row>
    <row r="396" spans="1:35" s="131" customFormat="1" ht="30" customHeight="1">
      <c r="A396" s="130" t="s">
        <v>1066</v>
      </c>
      <c r="B396" s="574"/>
      <c r="C396" s="574"/>
      <c r="D396" s="574"/>
      <c r="M396" s="132"/>
      <c r="N396" s="132"/>
      <c r="O396" s="132"/>
      <c r="P396" s="132"/>
      <c r="AA396" s="133"/>
    </row>
    <row r="397" spans="1:35">
      <c r="A397" s="134" t="s">
        <v>1067</v>
      </c>
      <c r="B397" s="484"/>
      <c r="C397" s="484"/>
      <c r="D397" s="484"/>
    </row>
    <row r="398" spans="1:35" s="80" customFormat="1" ht="15" customHeight="1">
      <c r="A398" s="168" t="s">
        <v>18</v>
      </c>
      <c r="L398" s="264" t="str">
        <f>INDEX('Общие сведения'!$J$114:$J$140,MATCH($A398,'Общие сведения'!$D$114:$D$140,0))</f>
        <v>Тариф 1 (Водоотведение) - тариф на транспортировку сточных вод</v>
      </c>
      <c r="M398" s="265"/>
      <c r="N398" s="265"/>
      <c r="O398" s="319">
        <f t="shared" ref="O398:V398" si="81">O399+O400</f>
        <v>0</v>
      </c>
      <c r="P398" s="319">
        <f t="shared" si="81"/>
        <v>0</v>
      </c>
      <c r="Q398" s="319">
        <f t="shared" si="81"/>
        <v>0</v>
      </c>
      <c r="R398" s="319">
        <f t="shared" si="81"/>
        <v>0</v>
      </c>
      <c r="S398" s="319">
        <f t="shared" si="81"/>
        <v>0</v>
      </c>
      <c r="T398" s="319">
        <f t="shared" si="81"/>
        <v>0</v>
      </c>
      <c r="U398" s="319">
        <f t="shared" si="81"/>
        <v>0</v>
      </c>
      <c r="V398" s="319">
        <f t="shared" si="81"/>
        <v>0</v>
      </c>
    </row>
    <row r="399" spans="1:35" s="101" customFormat="1" ht="33.9" customHeight="1" outlineLevel="1">
      <c r="A399" s="477" t="str">
        <f>A398</f>
        <v>1</v>
      </c>
      <c r="B399" s="101" t="s">
        <v>1406</v>
      </c>
      <c r="L399" s="266" t="s">
        <v>18</v>
      </c>
      <c r="M399" s="267" t="s">
        <v>1151</v>
      </c>
      <c r="N399" s="266" t="s">
        <v>352</v>
      </c>
      <c r="O399" s="277"/>
      <c r="P399" s="278"/>
      <c r="Q399" s="278"/>
      <c r="R399" s="278"/>
      <c r="S399" s="278"/>
      <c r="T399" s="278"/>
      <c r="U399" s="278"/>
      <c r="V399" s="278">
        <f>O399-P399-Q399-R399-S399-T399-U399</f>
        <v>0</v>
      </c>
    </row>
    <row r="400" spans="1:35" s="101" customFormat="1" ht="33.9" customHeight="1" outlineLevel="1">
      <c r="A400" s="477" t="str">
        <f>A399</f>
        <v>1</v>
      </c>
      <c r="B400" s="101" t="s">
        <v>1438</v>
      </c>
      <c r="L400" s="266" t="s">
        <v>102</v>
      </c>
      <c r="M400" s="267" t="s">
        <v>451</v>
      </c>
      <c r="N400" s="266" t="s">
        <v>352</v>
      </c>
      <c r="O400" s="277"/>
      <c r="P400" s="278"/>
      <c r="Q400" s="278"/>
      <c r="R400" s="278"/>
      <c r="S400" s="282"/>
      <c r="T400" s="282"/>
      <c r="U400" s="282"/>
      <c r="V400" s="278">
        <f>O400-P400-Q400-R400-S400-T400-U400</f>
        <v>0</v>
      </c>
    </row>
    <row r="401" spans="1:27">
      <c r="B401" s="484"/>
      <c r="C401" s="484"/>
      <c r="D401" s="484"/>
    </row>
    <row r="402" spans="1:27" s="131" customFormat="1" ht="30" customHeight="1">
      <c r="A402" s="130" t="s">
        <v>1071</v>
      </c>
      <c r="B402" s="574"/>
      <c r="C402" s="574"/>
      <c r="D402" s="574"/>
      <c r="M402" s="132"/>
      <c r="N402" s="132"/>
      <c r="O402" s="132"/>
      <c r="P402" s="132"/>
      <c r="AA402" s="133"/>
    </row>
    <row r="403" spans="1:27">
      <c r="A403" s="134" t="s">
        <v>1072</v>
      </c>
      <c r="B403" s="484"/>
      <c r="C403" s="484"/>
      <c r="D403" s="484"/>
    </row>
    <row r="404" spans="1:27" s="101" customFormat="1">
      <c r="A404" s="86" t="s">
        <v>18</v>
      </c>
      <c r="B404" s="569" t="str">
        <f>INDEX('Общие сведения'!$H$114:$H$140,MATCH($A404,'Общие сведения'!$D$114:$D$140,0))</f>
        <v>Водоотведение</v>
      </c>
      <c r="C404"/>
      <c r="L404" s="512" t="str">
        <f>INDEX('Общие сведения'!$J$114:$J$140,MATCH($A404,'Общие сведения'!$D$114:$D$140,0))</f>
        <v>Тариф 1 (Водоотведение) - тариф на транспортировку сточных вод</v>
      </c>
      <c r="M404" s="512"/>
      <c r="N404" s="512"/>
      <c r="O404" s="512"/>
      <c r="P404" s="512"/>
      <c r="Q404" s="512"/>
      <c r="R404" s="512"/>
    </row>
    <row r="405" spans="1:27" s="263" customFormat="1" ht="68.400000000000006" outlineLevel="1">
      <c r="A405" s="477" t="str">
        <f>A404</f>
        <v>1</v>
      </c>
      <c r="D405" s="101" t="s">
        <v>1406</v>
      </c>
      <c r="L405" s="513" t="s">
        <v>452</v>
      </c>
      <c r="M405" s="514" t="s">
        <v>453</v>
      </c>
      <c r="N405" s="513" t="s">
        <v>1068</v>
      </c>
      <c r="O405" s="515" t="s">
        <v>352</v>
      </c>
      <c r="P405" s="276">
        <f>P407-P406</f>
        <v>19.52</v>
      </c>
      <c r="Q405" s="276">
        <f>Q407-Q406</f>
        <v>85.500119252184206</v>
      </c>
      <c r="R405" s="407"/>
    </row>
    <row r="406" spans="1:27" s="263" customFormat="1" ht="22.8" outlineLevel="1">
      <c r="A406" s="477" t="str">
        <f t="shared" ref="A406:A447" si="82">A405</f>
        <v>1</v>
      </c>
      <c r="D406" s="101" t="s">
        <v>1407</v>
      </c>
      <c r="L406" s="516" t="s">
        <v>18</v>
      </c>
      <c r="M406" s="517" t="s">
        <v>454</v>
      </c>
      <c r="N406" s="518" t="s">
        <v>1069</v>
      </c>
      <c r="O406" s="519" t="s">
        <v>352</v>
      </c>
      <c r="P406" s="520"/>
      <c r="Q406" s="520"/>
      <c r="R406" s="407"/>
    </row>
    <row r="407" spans="1:27" s="263" customFormat="1" ht="22.8" outlineLevel="1">
      <c r="A407" s="477" t="str">
        <f t="shared" si="82"/>
        <v>1</v>
      </c>
      <c r="D407" s="101" t="s">
        <v>1408</v>
      </c>
      <c r="L407" s="516" t="s">
        <v>102</v>
      </c>
      <c r="M407" s="521" t="s">
        <v>455</v>
      </c>
      <c r="N407" s="518" t="s">
        <v>1070</v>
      </c>
      <c r="O407" s="519" t="s">
        <v>352</v>
      </c>
      <c r="P407" s="276">
        <f>P408+P409+P421+P425+P426+P427+P428+P432</f>
        <v>19.52</v>
      </c>
      <c r="Q407" s="276">
        <f>Q408+Q409+Q421+Q425+Q426+Q427+Q428+Q432</f>
        <v>85.500119252184206</v>
      </c>
      <c r="R407" s="407"/>
    </row>
    <row r="408" spans="1:27" s="101" customFormat="1" ht="22.8" outlineLevel="1">
      <c r="A408" s="477" t="str">
        <f t="shared" si="82"/>
        <v>1</v>
      </c>
      <c r="C408"/>
      <c r="D408" s="101" t="s">
        <v>1409</v>
      </c>
      <c r="L408" s="522" t="s">
        <v>17</v>
      </c>
      <c r="M408" s="523" t="s">
        <v>456</v>
      </c>
      <c r="N408" s="524" t="s">
        <v>457</v>
      </c>
      <c r="O408" s="510" t="s">
        <v>352</v>
      </c>
      <c r="P408" s="277"/>
      <c r="Q408" s="277"/>
      <c r="R408" s="408"/>
    </row>
    <row r="409" spans="1:27" s="101" customFormat="1" ht="22.8" outlineLevel="1">
      <c r="A409" s="477" t="str">
        <f t="shared" si="82"/>
        <v>1</v>
      </c>
      <c r="C409"/>
      <c r="D409" s="101" t="s">
        <v>1410</v>
      </c>
      <c r="L409" s="522" t="s">
        <v>138</v>
      </c>
      <c r="M409" s="523" t="s">
        <v>458</v>
      </c>
      <c r="N409" s="524" t="s">
        <v>459</v>
      </c>
      <c r="O409" s="510" t="s">
        <v>352</v>
      </c>
      <c r="P409" s="525">
        <f>SUM(P410:P420)</f>
        <v>19.52</v>
      </c>
      <c r="Q409" s="525">
        <f>SUM(Q410:Q420)</f>
        <v>0</v>
      </c>
      <c r="R409" s="408"/>
    </row>
    <row r="410" spans="1:27" s="101" customFormat="1" ht="34.200000000000003" outlineLevel="1">
      <c r="A410" s="477" t="str">
        <f t="shared" si="82"/>
        <v>1</v>
      </c>
      <c r="C410"/>
      <c r="D410" s="101" t="s">
        <v>1411</v>
      </c>
      <c r="L410" s="504" t="s">
        <v>139</v>
      </c>
      <c r="M410" s="505" t="s">
        <v>460</v>
      </c>
      <c r="N410" s="510"/>
      <c r="O410" s="510" t="s">
        <v>352</v>
      </c>
      <c r="P410" s="277">
        <f>SUMIFS(Покупка!P$15:P$44,Покупка!$A$15:$A$44,$A410,Покупка!$B$15:$B$44,"Итого")</f>
        <v>0</v>
      </c>
      <c r="Q410" s="277">
        <f>SUMIFS(Покупка!Q$15:Q$44,Покупка!$A$15:$A$44,$A410,Покупка!$B$15:$B$44,"Итого")</f>
        <v>0</v>
      </c>
      <c r="R410" s="408"/>
    </row>
    <row r="411" spans="1:27" s="101" customFormat="1" outlineLevel="1">
      <c r="A411" s="477" t="str">
        <f t="shared" si="82"/>
        <v>1</v>
      </c>
      <c r="C411"/>
      <c r="D411" s="101" t="s">
        <v>1412</v>
      </c>
      <c r="L411" s="504" t="s">
        <v>461</v>
      </c>
      <c r="M411" s="505" t="s">
        <v>462</v>
      </c>
      <c r="N411" s="510"/>
      <c r="O411" s="510" t="s">
        <v>352</v>
      </c>
      <c r="P411" s="277"/>
      <c r="Q411" s="277">
        <f>SUMIFS(Реагенты!Q$15:Q$22,Реагенты!$A$15:$A$22,$A411,Реагенты!$M$15:$M$22,"Всего по тарифу")</f>
        <v>0</v>
      </c>
      <c r="R411" s="408"/>
    </row>
    <row r="412" spans="1:27" s="101" customFormat="1" ht="22.8" outlineLevel="1">
      <c r="A412" s="477" t="str">
        <f t="shared" si="82"/>
        <v>1</v>
      </c>
      <c r="C412"/>
      <c r="D412" s="101" t="s">
        <v>1413</v>
      </c>
      <c r="L412" s="504" t="s">
        <v>463</v>
      </c>
      <c r="M412" s="505" t="s">
        <v>464</v>
      </c>
      <c r="N412" s="510"/>
      <c r="O412" s="510" t="s">
        <v>352</v>
      </c>
      <c r="P412" s="277">
        <f>SUMIFS(Налоги!P$15:P$40,Налоги!$A$15:$A$40,$A412,Налоги!$L$15:$L$40,"0")</f>
        <v>19.52</v>
      </c>
      <c r="Q412" s="277">
        <f>SUMIFS(Налоги!Q$15:Q$40,Налоги!$A$15:$A$40,$A412,Налоги!$L$15:$L$40,"0")</f>
        <v>0</v>
      </c>
      <c r="R412" s="408"/>
    </row>
    <row r="413" spans="1:27" s="101" customFormat="1" ht="91.2" outlineLevel="1">
      <c r="A413" s="477" t="str">
        <f t="shared" si="82"/>
        <v>1</v>
      </c>
      <c r="B413" s="104" t="s">
        <v>1361</v>
      </c>
      <c r="C413"/>
      <c r="D413" s="569" t="s">
        <v>1414</v>
      </c>
      <c r="L413" s="504" t="s">
        <v>465</v>
      </c>
      <c r="M413" s="505" t="s">
        <v>466</v>
      </c>
      <c r="N413" s="510"/>
      <c r="O413" s="510" t="s">
        <v>352</v>
      </c>
      <c r="P413" s="277"/>
      <c r="Q413" s="277">
        <f>SUMIFS(Калькуляция!Q$15:Q$266,Калькуляция!$A$15:$A$266,$A413,Калькуляция!$B$15:$B$266,$B413)</f>
        <v>0</v>
      </c>
      <c r="R413" s="408"/>
    </row>
    <row r="414" spans="1:27" s="101" customFormat="1" ht="22.8" outlineLevel="1">
      <c r="A414" s="477" t="str">
        <f t="shared" si="82"/>
        <v>1</v>
      </c>
      <c r="B414" s="104" t="s">
        <v>619</v>
      </c>
      <c r="C414"/>
      <c r="D414" s="569" t="s">
        <v>1415</v>
      </c>
      <c r="L414" s="504" t="s">
        <v>467</v>
      </c>
      <c r="M414" s="505" t="s">
        <v>468</v>
      </c>
      <c r="N414" s="510"/>
      <c r="O414" s="510" t="s">
        <v>352</v>
      </c>
      <c r="P414" s="277"/>
      <c r="Q414" s="277">
        <f>SUMIFS(Калькуляция!Q$15:Q$266,Калькуляция!$A$15:$A$266,$A414,Калькуляция!$B$15:$B$266,$B414)</f>
        <v>0</v>
      </c>
      <c r="R414" s="408"/>
    </row>
    <row r="415" spans="1:27" s="101" customFormat="1" ht="22.8" outlineLevel="1">
      <c r="A415" s="477" t="str">
        <f t="shared" si="82"/>
        <v>1</v>
      </c>
      <c r="B415" s="104" t="s">
        <v>622</v>
      </c>
      <c r="C415"/>
      <c r="D415" s="569" t="s">
        <v>1416</v>
      </c>
      <c r="L415" s="504" t="s">
        <v>469</v>
      </c>
      <c r="M415" s="505" t="s">
        <v>1163</v>
      </c>
      <c r="N415" s="510"/>
      <c r="O415" s="510" t="s">
        <v>352</v>
      </c>
      <c r="P415" s="277"/>
      <c r="Q415" s="277">
        <f>SUMIFS(Калькуляция!Q$15:Q$266,Калькуляция!$A$15:$A$266,$A415,Калькуляция!$B$15:$B$266,$B415)</f>
        <v>0</v>
      </c>
      <c r="R415" s="408"/>
    </row>
    <row r="416" spans="1:27" s="101" customFormat="1" ht="34.200000000000003" outlineLevel="1">
      <c r="A416" s="477" t="str">
        <f t="shared" si="82"/>
        <v>1</v>
      </c>
      <c r="B416" s="104" t="s">
        <v>623</v>
      </c>
      <c r="C416"/>
      <c r="D416" s="569" t="s">
        <v>1417</v>
      </c>
      <c r="L416" s="504" t="s">
        <v>470</v>
      </c>
      <c r="M416" s="505" t="s">
        <v>1164</v>
      </c>
      <c r="N416" s="510"/>
      <c r="O416" s="510" t="s">
        <v>352</v>
      </c>
      <c r="P416" s="277"/>
      <c r="Q416" s="277">
        <f>SUMIFS(Калькуляция!Q$15:Q$266,Калькуляция!$A$15:$A$266,$A416,Калькуляция!$B$15:$B$266,$B416)</f>
        <v>0</v>
      </c>
      <c r="R416" s="408"/>
    </row>
    <row r="417" spans="1:18" s="101" customFormat="1" ht="22.8" outlineLevel="1">
      <c r="A417" s="477" t="str">
        <f t="shared" si="82"/>
        <v>1</v>
      </c>
      <c r="B417" s="104" t="s">
        <v>624</v>
      </c>
      <c r="C417"/>
      <c r="D417" s="569" t="s">
        <v>1418</v>
      </c>
      <c r="L417" s="504" t="s">
        <v>471</v>
      </c>
      <c r="M417" s="505" t="s">
        <v>472</v>
      </c>
      <c r="N417" s="526"/>
      <c r="O417" s="510" t="s">
        <v>352</v>
      </c>
      <c r="P417" s="277"/>
      <c r="Q417" s="277">
        <f>SUMIFS(Калькуляция!Q$15:Q$266,Калькуляция!$A$15:$A$266,$A417,Калькуляция!$B$15:$B$266,$B417)</f>
        <v>0</v>
      </c>
      <c r="R417" s="408"/>
    </row>
    <row r="418" spans="1:18" s="101" customFormat="1" ht="22.8" outlineLevel="1">
      <c r="A418" s="477" t="str">
        <f t="shared" si="82"/>
        <v>1</v>
      </c>
      <c r="B418" s="104" t="s">
        <v>625</v>
      </c>
      <c r="C418"/>
      <c r="D418" s="569" t="s">
        <v>1419</v>
      </c>
      <c r="L418" s="504" t="s">
        <v>473</v>
      </c>
      <c r="M418" s="505" t="s">
        <v>474</v>
      </c>
      <c r="N418" s="526"/>
      <c r="O418" s="510" t="s">
        <v>352</v>
      </c>
      <c r="P418" s="277"/>
      <c r="Q418" s="277">
        <f>SUMIFS(Калькуляция!Q$15:Q$266,Калькуляция!$A$15:$A$266,$A418,Калькуляция!$B$15:$B$266,$B418)</f>
        <v>0</v>
      </c>
      <c r="R418" s="408"/>
    </row>
    <row r="419" spans="1:18" s="101" customFormat="1" outlineLevel="1">
      <c r="A419" s="477" t="str">
        <f t="shared" si="82"/>
        <v>1</v>
      </c>
      <c r="B419" s="104" t="s">
        <v>627</v>
      </c>
      <c r="C419"/>
      <c r="D419" s="569" t="s">
        <v>1420</v>
      </c>
      <c r="L419" s="504" t="s">
        <v>475</v>
      </c>
      <c r="M419" s="505" t="s">
        <v>476</v>
      </c>
      <c r="N419" s="526"/>
      <c r="O419" s="510" t="s">
        <v>352</v>
      </c>
      <c r="P419" s="277"/>
      <c r="Q419" s="277">
        <f>SUMIFS(Калькуляция!Q$15:Q$266,Калькуляция!$A$15:$A$266,$A419,Калькуляция!$B$15:$B$266,$B419)</f>
        <v>0</v>
      </c>
      <c r="R419" s="408"/>
    </row>
    <row r="420" spans="1:18" s="101" customFormat="1" ht="34.200000000000003" outlineLevel="1">
      <c r="A420" s="477" t="str">
        <f t="shared" si="82"/>
        <v>1</v>
      </c>
      <c r="B420" s="104" t="s">
        <v>1362</v>
      </c>
      <c r="C420"/>
      <c r="D420" s="569" t="s">
        <v>1421</v>
      </c>
      <c r="L420" s="504" t="s">
        <v>477</v>
      </c>
      <c r="M420" s="505" t="s">
        <v>478</v>
      </c>
      <c r="N420" s="526"/>
      <c r="O420" s="510" t="s">
        <v>352</v>
      </c>
      <c r="P420" s="277"/>
      <c r="Q420" s="277">
        <f>SUMIFS(Калькуляция!Q$15:Q$266,Калькуляция!$A$15:$A$266,$A420,Калькуляция!$B$15:$B$266,$B420)</f>
        <v>0</v>
      </c>
      <c r="R420" s="408"/>
    </row>
    <row r="421" spans="1:18" s="101" customFormat="1" ht="13.8" outlineLevel="1">
      <c r="A421" s="477" t="str">
        <f t="shared" si="82"/>
        <v>1</v>
      </c>
      <c r="C421"/>
      <c r="D421" s="101" t="s">
        <v>1422</v>
      </c>
      <c r="L421" s="522" t="s">
        <v>151</v>
      </c>
      <c r="M421" s="527" t="s">
        <v>479</v>
      </c>
      <c r="N421" s="524" t="s">
        <v>480</v>
      </c>
      <c r="O421" s="510" t="s">
        <v>352</v>
      </c>
      <c r="P421" s="278">
        <f>P422*P423*P424</f>
        <v>0</v>
      </c>
      <c r="Q421" s="278">
        <f>Q422*Q423*Q424</f>
        <v>85.500119252184206</v>
      </c>
      <c r="R421" s="408"/>
    </row>
    <row r="422" spans="1:18" s="101" customFormat="1" ht="22.8" outlineLevel="1">
      <c r="A422" s="477" t="str">
        <f t="shared" si="82"/>
        <v>1</v>
      </c>
      <c r="C422"/>
      <c r="D422" s="101" t="s">
        <v>1423</v>
      </c>
      <c r="L422" s="522" t="s">
        <v>152</v>
      </c>
      <c r="M422" s="528" t="s">
        <v>481</v>
      </c>
      <c r="N422" s="524" t="s">
        <v>482</v>
      </c>
      <c r="O422" s="510" t="s">
        <v>483</v>
      </c>
      <c r="P422" s="277"/>
      <c r="Q422" s="277">
        <f>SUMIFS(ЭЭ!O$15:O$38,ЭЭ!$A$15:$A$38,$A422,ЭЭ!$M$15:$M$38,"Удельный расход электроэнергии")</f>
        <v>2.3305084745762712E-2</v>
      </c>
      <c r="R422" s="408"/>
    </row>
    <row r="423" spans="1:18" s="101" customFormat="1" ht="22.8" outlineLevel="1">
      <c r="A423" s="477" t="str">
        <f t="shared" si="82"/>
        <v>1</v>
      </c>
      <c r="C423"/>
      <c r="D423" s="101" t="s">
        <v>1424</v>
      </c>
      <c r="L423" s="522" t="s">
        <v>604</v>
      </c>
      <c r="M423" s="528" t="s">
        <v>1152</v>
      </c>
      <c r="N423" s="524" t="s">
        <v>484</v>
      </c>
      <c r="O423" s="510" t="s">
        <v>485</v>
      </c>
      <c r="P423" s="277"/>
      <c r="Q423" s="277">
        <f>SUMIFS(ЭЭ!Q$15:Q$38,ЭЭ!$A$15:$A$38,$A423,ЭЭ!$M$15:$M$38,"Объём воды/сточных вод")</f>
        <v>651.79</v>
      </c>
      <c r="R423" s="408"/>
    </row>
    <row r="424" spans="1:18" s="101" customFormat="1" ht="22.8" outlineLevel="1">
      <c r="A424" s="477" t="str">
        <f t="shared" si="82"/>
        <v>1</v>
      </c>
      <c r="C424"/>
      <c r="D424" s="101" t="s">
        <v>1425</v>
      </c>
      <c r="L424" s="522" t="s">
        <v>606</v>
      </c>
      <c r="M424" s="528" t="s">
        <v>1094</v>
      </c>
      <c r="N424" s="524" t="s">
        <v>486</v>
      </c>
      <c r="O424" s="510" t="s">
        <v>487</v>
      </c>
      <c r="P424" s="277"/>
      <c r="Q424" s="277">
        <f>SUMIFS(ЭЭ!Q$15:Q$38,ЭЭ!$A$15:$A$38,$A424,ЭЭ!$M$15:$M$38,"Средний (расчетный) тариф")</f>
        <v>5.6287030941408824</v>
      </c>
      <c r="R424" s="408"/>
    </row>
    <row r="425" spans="1:18" s="101" customFormat="1" ht="22.8" outlineLevel="1">
      <c r="A425" s="477" t="str">
        <f t="shared" si="82"/>
        <v>1</v>
      </c>
      <c r="B425" s="101" t="s">
        <v>1079</v>
      </c>
      <c r="C425"/>
      <c r="D425" s="101" t="s">
        <v>1426</v>
      </c>
      <c r="L425" s="522" t="s">
        <v>153</v>
      </c>
      <c r="M425" s="523" t="s">
        <v>488</v>
      </c>
      <c r="N425" s="524" t="s">
        <v>489</v>
      </c>
      <c r="O425" s="510" t="s">
        <v>352</v>
      </c>
      <c r="P425" s="277"/>
      <c r="Q425" s="277">
        <f>SUMIFS(Калькуляция!Q$15:Q$266,Калькуляция!$A$15:$A$266,$A425,Калькуляция!$B$15:$B$266,$B425)</f>
        <v>0</v>
      </c>
      <c r="R425" s="408"/>
    </row>
    <row r="426" spans="1:18" s="101" customFormat="1" ht="13.8" outlineLevel="1">
      <c r="A426" s="477" t="str">
        <f t="shared" si="82"/>
        <v>1</v>
      </c>
      <c r="C426"/>
      <c r="D426" s="101" t="s">
        <v>1427</v>
      </c>
      <c r="L426" s="522" t="s">
        <v>367</v>
      </c>
      <c r="M426" s="529" t="s">
        <v>490</v>
      </c>
      <c r="N426" s="524" t="s">
        <v>491</v>
      </c>
      <c r="O426" s="510" t="s">
        <v>352</v>
      </c>
      <c r="P426" s="277"/>
      <c r="Q426" s="277">
        <f>SUMIFS(Калькуляция!O$15:O$266,Калькуляция!$A$15:$A$266,$A426,Калькуляция!$B$15:$B$266,"Нормативная прибыль")-SUMIFS(Калькуляция!O$15:O$266,Калькуляция!$A$15:$A$266,$A426,Калькуляция!$B$15:$B$266,"иные экономически обоснованные расходы на социальные нужды")+SUMIFS(Калькуляция!Q$15:Q$266,Калькуляция!$A$15:$A$266,$A426,Калькуляция!$B$15:$B$266,"иные экономически обоснованные расходы на социальные нужды")</f>
        <v>0</v>
      </c>
      <c r="R426" s="408"/>
    </row>
    <row r="427" spans="1:18" s="101" customFormat="1" ht="22.8" outlineLevel="1">
      <c r="A427" s="477" t="str">
        <f t="shared" si="82"/>
        <v>1</v>
      </c>
      <c r="B427" s="104" t="s">
        <v>641</v>
      </c>
      <c r="C427"/>
      <c r="D427" s="569" t="s">
        <v>1428</v>
      </c>
      <c r="L427" s="522" t="s">
        <v>492</v>
      </c>
      <c r="M427" s="523" t="s">
        <v>1165</v>
      </c>
      <c r="N427" s="524" t="s">
        <v>493</v>
      </c>
      <c r="O427" s="510" t="s">
        <v>352</v>
      </c>
      <c r="P427" s="277"/>
      <c r="Q427" s="277">
        <f>SUMIFS(Калькуляция!Q$15:Q$266,Калькуляция!$A$15:$A$266,$A427,Калькуляция!$B$15:$B$266,$B427)</f>
        <v>0</v>
      </c>
      <c r="R427" s="408"/>
    </row>
    <row r="428" spans="1:18" s="101" customFormat="1" ht="22.8" outlineLevel="1">
      <c r="A428" s="477" t="str">
        <f t="shared" si="82"/>
        <v>1</v>
      </c>
      <c r="B428" s="104"/>
      <c r="C428"/>
      <c r="D428" s="101" t="s">
        <v>1429</v>
      </c>
      <c r="L428" s="522" t="s">
        <v>494</v>
      </c>
      <c r="M428" s="523" t="s">
        <v>1430</v>
      </c>
      <c r="N428" s="524"/>
      <c r="O428" s="510" t="s">
        <v>352</v>
      </c>
      <c r="P428" s="277"/>
      <c r="Q428" s="277"/>
      <c r="R428" s="408"/>
    </row>
    <row r="429" spans="1:18" s="101" customFormat="1" ht="34.200000000000003" outlineLevel="1">
      <c r="A429" s="477" t="str">
        <f t="shared" si="82"/>
        <v>1</v>
      </c>
      <c r="C429"/>
      <c r="D429" s="101" t="s">
        <v>1431</v>
      </c>
      <c r="L429" s="522" t="s">
        <v>1432</v>
      </c>
      <c r="M429" s="528" t="s">
        <v>495</v>
      </c>
      <c r="N429" s="524" t="s">
        <v>496</v>
      </c>
      <c r="O429" s="510" t="s">
        <v>352</v>
      </c>
      <c r="P429" s="277"/>
      <c r="Q429" s="277"/>
      <c r="R429" s="408"/>
    </row>
    <row r="430" spans="1:18" s="101" customFormat="1" ht="22.8" outlineLevel="1">
      <c r="A430" s="477" t="str">
        <f t="shared" si="82"/>
        <v>1</v>
      </c>
      <c r="C430"/>
      <c r="D430" s="101" t="s">
        <v>1433</v>
      </c>
      <c r="L430" s="522" t="s">
        <v>1434</v>
      </c>
      <c r="M430" s="528" t="s">
        <v>498</v>
      </c>
      <c r="N430" s="524" t="s">
        <v>499</v>
      </c>
      <c r="O430" s="510" t="s">
        <v>352</v>
      </c>
      <c r="P430" s="277"/>
      <c r="Q430" s="277"/>
      <c r="R430" s="408"/>
    </row>
    <row r="431" spans="1:18" s="101" customFormat="1" ht="57" outlineLevel="1">
      <c r="A431" s="477" t="str">
        <f t="shared" si="82"/>
        <v>1</v>
      </c>
      <c r="C431"/>
      <c r="D431" s="101" t="s">
        <v>1435</v>
      </c>
      <c r="L431" s="522" t="s">
        <v>1436</v>
      </c>
      <c r="M431" s="528" t="s">
        <v>1215</v>
      </c>
      <c r="N431" s="510" t="s">
        <v>1214</v>
      </c>
      <c r="O431" s="510" t="s">
        <v>352</v>
      </c>
      <c r="P431" s="277"/>
      <c r="Q431" s="277"/>
      <c r="R431" s="408"/>
    </row>
    <row r="432" spans="1:18" s="101" customFormat="1" ht="22.8" outlineLevel="1">
      <c r="A432" s="477" t="str">
        <f t="shared" si="82"/>
        <v>1</v>
      </c>
      <c r="C432"/>
      <c r="D432" s="101" t="s">
        <v>1437</v>
      </c>
      <c r="L432" s="522" t="s">
        <v>500</v>
      </c>
      <c r="M432" s="527" t="s">
        <v>1212</v>
      </c>
      <c r="N432" s="510" t="s">
        <v>1213</v>
      </c>
      <c r="O432" s="510" t="s">
        <v>352</v>
      </c>
      <c r="P432" s="277"/>
      <c r="Q432" s="277"/>
      <c r="R432" s="408"/>
    </row>
    <row r="433" spans="1:18" s="263" customFormat="1" ht="34.200000000000003" outlineLevel="1">
      <c r="A433" s="477" t="str">
        <f t="shared" si="82"/>
        <v>1</v>
      </c>
      <c r="D433" s="101" t="s">
        <v>1438</v>
      </c>
      <c r="L433" s="518" t="s">
        <v>501</v>
      </c>
      <c r="M433" s="521" t="s">
        <v>502</v>
      </c>
      <c r="N433" s="518" t="s">
        <v>1068</v>
      </c>
      <c r="O433" s="519" t="s">
        <v>352</v>
      </c>
      <c r="P433" s="276">
        <f>P434</f>
        <v>0</v>
      </c>
      <c r="Q433" s="276">
        <f>Q434</f>
        <v>0</v>
      </c>
      <c r="R433" s="407"/>
    </row>
    <row r="434" spans="1:18" s="101" customFormat="1" ht="34.200000000000003" outlineLevel="1">
      <c r="A434" s="477" t="str">
        <f t="shared" si="82"/>
        <v>1</v>
      </c>
      <c r="C434"/>
      <c r="D434" s="101" t="s">
        <v>1439</v>
      </c>
      <c r="L434" s="522" t="s">
        <v>18</v>
      </c>
      <c r="M434" s="530" t="s">
        <v>503</v>
      </c>
      <c r="N434" s="524" t="s">
        <v>504</v>
      </c>
      <c r="O434" s="510" t="s">
        <v>352</v>
      </c>
      <c r="P434" s="525">
        <f>P435+P436</f>
        <v>0</v>
      </c>
      <c r="Q434" s="525">
        <f>Q435+Q436</f>
        <v>0</v>
      </c>
      <c r="R434" s="408"/>
    </row>
    <row r="435" spans="1:18" s="101" customFormat="1" ht="68.400000000000006" outlineLevel="1">
      <c r="A435" s="477" t="str">
        <f t="shared" si="82"/>
        <v>1</v>
      </c>
      <c r="C435"/>
      <c r="D435" s="101" t="s">
        <v>1440</v>
      </c>
      <c r="L435" s="522" t="s">
        <v>149</v>
      </c>
      <c r="M435" s="527" t="s">
        <v>505</v>
      </c>
      <c r="N435" s="524" t="s">
        <v>506</v>
      </c>
      <c r="O435" s="510" t="s">
        <v>352</v>
      </c>
      <c r="P435" s="277"/>
      <c r="Q435" s="277"/>
      <c r="R435" s="408"/>
    </row>
    <row r="436" spans="1:18" s="101" customFormat="1" ht="45.6" outlineLevel="1">
      <c r="A436" s="477" t="str">
        <f t="shared" si="82"/>
        <v>1</v>
      </c>
      <c r="C436"/>
      <c r="D436" s="101" t="s">
        <v>1441</v>
      </c>
      <c r="L436" s="522" t="s">
        <v>150</v>
      </c>
      <c r="M436" s="527" t="s">
        <v>507</v>
      </c>
      <c r="N436" s="524" t="s">
        <v>508</v>
      </c>
      <c r="O436" s="510" t="s">
        <v>352</v>
      </c>
      <c r="P436" s="277"/>
      <c r="Q436" s="277"/>
      <c r="R436" s="408"/>
    </row>
    <row r="437" spans="1:18" s="101" customFormat="1" ht="34.200000000000003" outlineLevel="1">
      <c r="A437" s="477" t="str">
        <f t="shared" si="82"/>
        <v>1</v>
      </c>
      <c r="C437"/>
      <c r="D437" s="101" t="s">
        <v>1442</v>
      </c>
      <c r="L437" s="510" t="s">
        <v>1131</v>
      </c>
      <c r="M437" s="531" t="s">
        <v>1194</v>
      </c>
      <c r="N437" s="524" t="s">
        <v>1443</v>
      </c>
      <c r="O437" s="510" t="s">
        <v>352</v>
      </c>
      <c r="P437" s="239"/>
      <c r="Q437" s="239"/>
      <c r="R437" s="408"/>
    </row>
    <row r="438" spans="1:18" s="101" customFormat="1" ht="148.19999999999999" outlineLevel="1">
      <c r="A438" s="477" t="str">
        <f t="shared" si="82"/>
        <v>1</v>
      </c>
      <c r="C438"/>
      <c r="D438" s="101" t="s">
        <v>1444</v>
      </c>
      <c r="L438" s="510" t="s">
        <v>1132</v>
      </c>
      <c r="M438" s="531" t="s">
        <v>509</v>
      </c>
      <c r="N438" s="524" t="s">
        <v>1445</v>
      </c>
      <c r="O438" s="510" t="s">
        <v>352</v>
      </c>
      <c r="P438" s="239"/>
      <c r="Q438" s="239"/>
      <c r="R438" s="408"/>
    </row>
    <row r="439" spans="1:18" s="101" customFormat="1" ht="102.6" outlineLevel="1">
      <c r="A439" s="477" t="str">
        <f t="shared" si="82"/>
        <v>1</v>
      </c>
      <c r="C439" s="503" t="b">
        <f>B404="Водоотведение"</f>
        <v>1</v>
      </c>
      <c r="D439" s="101" t="s">
        <v>1446</v>
      </c>
      <c r="L439" s="510" t="s">
        <v>1447</v>
      </c>
      <c r="M439" s="531" t="s">
        <v>1153</v>
      </c>
      <c r="N439" s="524"/>
      <c r="O439" s="510" t="s">
        <v>352</v>
      </c>
      <c r="P439" s="239"/>
      <c r="Q439" s="365">
        <f>IFERROR(SUMIFS('Плата за негативное возд'!$V$14:$V$21,'Плата за негативное возд'!$A$14:$A$21,A439,'Плата за негативное возд'!$L$14:$L$21,"1"),0)</f>
        <v>0</v>
      </c>
      <c r="R439" s="408"/>
    </row>
    <row r="440" spans="1:18" s="101" customFormat="1" ht="68.400000000000006" outlineLevel="1">
      <c r="A440" s="477" t="str">
        <f t="shared" si="82"/>
        <v>1</v>
      </c>
      <c r="C440" s="503" t="b">
        <f>B404="Водоотведение"</f>
        <v>1</v>
      </c>
      <c r="D440" s="101" t="s">
        <v>1448</v>
      </c>
      <c r="L440" s="510" t="s">
        <v>1449</v>
      </c>
      <c r="M440" s="531" t="s">
        <v>646</v>
      </c>
      <c r="N440" s="524"/>
      <c r="O440" s="510" t="s">
        <v>352</v>
      </c>
      <c r="P440" s="239"/>
      <c r="Q440" s="365">
        <f>IFERROR(SUMIFS('Плата за негативное возд'!$V$14:$V$21,'Плата за негативное возд'!$A$14:$A$21,A440,'Плата за негативное возд'!$L$14:$L$21,"2"),0)</f>
        <v>0</v>
      </c>
      <c r="R440" s="408"/>
    </row>
    <row r="441" spans="1:18" s="101" customFormat="1" outlineLevel="1">
      <c r="A441" s="477" t="str">
        <f t="shared" si="82"/>
        <v>1</v>
      </c>
      <c r="C441"/>
      <c r="D441" s="101" t="s">
        <v>1450</v>
      </c>
      <c r="L441" s="510" t="s">
        <v>1451</v>
      </c>
      <c r="M441" s="531" t="s">
        <v>647</v>
      </c>
      <c r="N441" s="524"/>
      <c r="O441" s="510" t="s">
        <v>352</v>
      </c>
      <c r="P441" s="239"/>
      <c r="Q441" s="239"/>
      <c r="R441" s="408"/>
    </row>
    <row r="442" spans="1:18" s="263" customFormat="1" ht="22.8" outlineLevel="1">
      <c r="A442" s="477" t="str">
        <f t="shared" si="82"/>
        <v>1</v>
      </c>
      <c r="D442" s="263" t="s">
        <v>1452</v>
      </c>
      <c r="L442" s="519" t="s">
        <v>1453</v>
      </c>
      <c r="M442" s="521" t="s">
        <v>648</v>
      </c>
      <c r="N442" s="518"/>
      <c r="O442" s="519" t="s">
        <v>352</v>
      </c>
      <c r="P442" s="532">
        <f>P443+P444</f>
        <v>0</v>
      </c>
      <c r="Q442" s="532">
        <f>Q443+Q444</f>
        <v>0</v>
      </c>
      <c r="R442" s="407"/>
    </row>
    <row r="443" spans="1:18" s="101" customFormat="1" ht="22.8" outlineLevel="1">
      <c r="A443" s="477" t="str">
        <f t="shared" si="82"/>
        <v>1</v>
      </c>
      <c r="C443"/>
      <c r="D443" s="101" t="s">
        <v>1454</v>
      </c>
      <c r="L443" s="510">
        <v>1</v>
      </c>
      <c r="M443" s="527" t="s">
        <v>649</v>
      </c>
      <c r="N443" s="524"/>
      <c r="O443" s="510" t="s">
        <v>352</v>
      </c>
      <c r="P443" s="239"/>
      <c r="Q443" s="239"/>
      <c r="R443" s="408"/>
    </row>
    <row r="444" spans="1:18" s="101" customFormat="1" ht="22.8" outlineLevel="1">
      <c r="A444" s="477" t="str">
        <f t="shared" si="82"/>
        <v>1</v>
      </c>
      <c r="C444"/>
      <c r="D444" s="101" t="s">
        <v>1455</v>
      </c>
      <c r="L444" s="510">
        <v>2</v>
      </c>
      <c r="M444" s="527" t="s">
        <v>650</v>
      </c>
      <c r="N444" s="524"/>
      <c r="O444" s="510" t="s">
        <v>352</v>
      </c>
      <c r="P444" s="239"/>
      <c r="Q444" s="239"/>
      <c r="R444" s="408"/>
    </row>
    <row r="445" spans="1:18" s="101" customFormat="1" ht="22.8" outlineLevel="1">
      <c r="A445" s="477" t="str">
        <f t="shared" si="82"/>
        <v>1</v>
      </c>
      <c r="C445"/>
      <c r="D445" s="101" t="s">
        <v>1456</v>
      </c>
      <c r="L445" s="510" t="s">
        <v>1457</v>
      </c>
      <c r="M445" s="531" t="s">
        <v>651</v>
      </c>
      <c r="N445" s="524"/>
      <c r="O445" s="510" t="s">
        <v>352</v>
      </c>
      <c r="P445" s="239"/>
      <c r="Q445" s="239"/>
      <c r="R445" s="408"/>
    </row>
    <row r="446" spans="1:18" s="101" customFormat="1" ht="22.8" outlineLevel="1">
      <c r="A446" s="477" t="str">
        <f t="shared" si="82"/>
        <v>1</v>
      </c>
      <c r="C446"/>
      <c r="D446" s="101" t="s">
        <v>1458</v>
      </c>
      <c r="L446" s="510" t="s">
        <v>1459</v>
      </c>
      <c r="M446" s="531" t="s">
        <v>652</v>
      </c>
      <c r="N446" s="524"/>
      <c r="O446" s="510" t="s">
        <v>352</v>
      </c>
      <c r="P446" s="239"/>
      <c r="Q446" s="239"/>
      <c r="R446" s="408"/>
    </row>
    <row r="447" spans="1:18" s="263" customFormat="1" ht="22.8" outlineLevel="1">
      <c r="A447" s="477" t="str">
        <f t="shared" si="82"/>
        <v>1</v>
      </c>
      <c r="D447" s="263" t="s">
        <v>1460</v>
      </c>
      <c r="L447" s="519" t="s">
        <v>1461</v>
      </c>
      <c r="M447" s="521" t="s">
        <v>1462</v>
      </c>
      <c r="N447" s="518"/>
      <c r="O447" s="519" t="s">
        <v>352</v>
      </c>
      <c r="P447" s="533">
        <f>P405+P437+P438+P439+P440+P441+P442+P445+P446</f>
        <v>19.52</v>
      </c>
      <c r="Q447" s="533">
        <f>Q405+Q437+Q438+Q439+Q440+Q441+Q442+Q445+Q446</f>
        <v>85.500119252184206</v>
      </c>
      <c r="R447" s="407"/>
    </row>
    <row r="448" spans="1:18">
      <c r="B448" s="484"/>
      <c r="C448" s="484"/>
      <c r="D448" s="484"/>
    </row>
    <row r="449" spans="1:53" s="131" customFormat="1" ht="30" customHeight="1">
      <c r="A449" s="130" t="s">
        <v>1073</v>
      </c>
      <c r="B449" s="574"/>
      <c r="C449" s="574"/>
      <c r="D449" s="574"/>
      <c r="M449" s="132"/>
      <c r="N449" s="132"/>
      <c r="O449" s="132"/>
      <c r="P449" s="132"/>
      <c r="AA449" s="133"/>
    </row>
    <row r="450" spans="1:53">
      <c r="A450" s="134" t="s">
        <v>1074</v>
      </c>
      <c r="B450" s="484"/>
      <c r="C450" s="484"/>
      <c r="D450" s="484"/>
    </row>
    <row r="451" spans="1:53" s="80" customFormat="1">
      <c r="A451" s="86" t="s">
        <v>18</v>
      </c>
      <c r="B451" s="569" t="str">
        <f>INDEX('Общие сведения'!$N$114:$N$140,MATCH($A451,'Общие сведения'!$D$114:$D$140,0))</f>
        <v>одноставочный</v>
      </c>
      <c r="D451" s="569" t="str">
        <f>INDEX('Общие сведения'!$H$114:$H$140,MATCH($A451,'Общие сведения'!$D$114:$D$140,0))</f>
        <v>Водоотведение</v>
      </c>
      <c r="L451" s="287" t="str">
        <f>INDEX('Общие сведения'!$J$114:$J$140,MATCH($A451,'Общие сведения'!$D$114:$D$140,0))</f>
        <v>Тариф 1 (Водоотведение) - тариф на транспортировку сточных вод</v>
      </c>
      <c r="M451" s="288"/>
      <c r="N451" s="288"/>
      <c r="O451" s="288"/>
      <c r="P451" s="288"/>
      <c r="Q451" s="288"/>
      <c r="R451" s="288"/>
      <c r="S451" s="288"/>
      <c r="T451" s="288"/>
      <c r="U451" s="288"/>
      <c r="V451" s="288"/>
      <c r="W451" s="288"/>
      <c r="X451" s="288"/>
      <c r="Y451" s="288"/>
      <c r="Z451" s="288"/>
      <c r="AA451" s="288"/>
      <c r="AB451" s="288"/>
      <c r="AC451" s="288"/>
      <c r="AD451" s="288"/>
      <c r="AE451" s="288"/>
      <c r="AF451" s="288"/>
      <c r="AG451" s="288"/>
      <c r="AH451" s="288"/>
      <c r="AI451" s="288"/>
      <c r="AJ451" s="288"/>
      <c r="AK451" s="288"/>
      <c r="AL451" s="288"/>
      <c r="AM451" s="288"/>
      <c r="AN451" s="288"/>
      <c r="AO451" s="288"/>
      <c r="AP451" s="288"/>
      <c r="AQ451" s="288"/>
      <c r="AR451" s="288"/>
      <c r="AS451" s="288"/>
      <c r="AT451" s="288"/>
      <c r="AU451" s="288"/>
      <c r="AV451" s="288"/>
      <c r="AW451" s="288"/>
      <c r="AX451" s="288"/>
      <c r="AY451" s="288"/>
      <c r="AZ451" s="288"/>
    </row>
    <row r="452" spans="1:53" s="107" customFormat="1" outlineLevel="1">
      <c r="A452" s="477" t="str">
        <f>A451</f>
        <v>1</v>
      </c>
      <c r="C452" s="538"/>
      <c r="D452" s="538" t="s">
        <v>1406</v>
      </c>
      <c r="L452" s="357" t="s">
        <v>18</v>
      </c>
      <c r="M452" s="358" t="s">
        <v>512</v>
      </c>
      <c r="N452" s="359" t="s">
        <v>352</v>
      </c>
      <c r="O452" s="386"/>
      <c r="P452" s="360" t="e">
        <f>SUM(P454,P471,P477,P497,P498,P499)</f>
        <v>#N/A</v>
      </c>
      <c r="Q452" s="360" t="e">
        <f>SUM(Q454,Q471,Q477,Q497,Q498,Q499)</f>
        <v>#N/A</v>
      </c>
      <c r="R452" s="360" t="e">
        <f t="shared" ref="R452:R497" si="83">Q452-P452</f>
        <v>#N/A</v>
      </c>
      <c r="S452" s="386" t="e">
        <f>O452*S453</f>
        <v>#N/A</v>
      </c>
      <c r="T452" s="386" t="e">
        <f>S452*T453</f>
        <v>#N/A</v>
      </c>
      <c r="U452" s="386" t="e">
        <f t="shared" ref="U452:AM452" si="84">T452*U453</f>
        <v>#N/A</v>
      </c>
      <c r="V452" s="386" t="e">
        <f t="shared" si="84"/>
        <v>#N/A</v>
      </c>
      <c r="W452" s="386" t="e">
        <f t="shared" si="84"/>
        <v>#N/A</v>
      </c>
      <c r="X452" s="386" t="e">
        <f t="shared" si="84"/>
        <v>#N/A</v>
      </c>
      <c r="Y452" s="386" t="e">
        <f t="shared" si="84"/>
        <v>#N/A</v>
      </c>
      <c r="Z452" s="386" t="e">
        <f t="shared" si="84"/>
        <v>#N/A</v>
      </c>
      <c r="AA452" s="386" t="e">
        <f t="shared" si="84"/>
        <v>#N/A</v>
      </c>
      <c r="AB452" s="386" t="e">
        <f t="shared" si="84"/>
        <v>#N/A</v>
      </c>
      <c r="AC452" s="386" t="e">
        <f t="shared" si="84"/>
        <v>#N/A</v>
      </c>
      <c r="AD452" s="386" t="e">
        <f>S452*AD453</f>
        <v>#N/A</v>
      </c>
      <c r="AE452" s="386" t="e">
        <f t="shared" si="84"/>
        <v>#N/A</v>
      </c>
      <c r="AF452" s="386" t="e">
        <f t="shared" si="84"/>
        <v>#N/A</v>
      </c>
      <c r="AG452" s="386" t="e">
        <f t="shared" si="84"/>
        <v>#N/A</v>
      </c>
      <c r="AH452" s="386" t="e">
        <f t="shared" si="84"/>
        <v>#N/A</v>
      </c>
      <c r="AI452" s="386" t="e">
        <f t="shared" si="84"/>
        <v>#N/A</v>
      </c>
      <c r="AJ452" s="386" t="e">
        <f t="shared" si="84"/>
        <v>#N/A</v>
      </c>
      <c r="AK452" s="386" t="e">
        <f t="shared" si="84"/>
        <v>#N/A</v>
      </c>
      <c r="AL452" s="386" t="e">
        <f t="shared" si="84"/>
        <v>#N/A</v>
      </c>
      <c r="AM452" s="386" t="e">
        <f t="shared" si="84"/>
        <v>#N/A</v>
      </c>
      <c r="AN452" s="360" t="e">
        <f>IF(S452=0,0,(AD452-S452)/S452*100)</f>
        <v>#N/A</v>
      </c>
      <c r="AO452" s="360" t="e">
        <f t="shared" ref="AO452:AW452" si="85">IF(AD452=0,0,(AE452-AD452)/AD452*100)</f>
        <v>#N/A</v>
      </c>
      <c r="AP452" s="360" t="e">
        <f t="shared" si="85"/>
        <v>#N/A</v>
      </c>
      <c r="AQ452" s="360" t="e">
        <f t="shared" si="85"/>
        <v>#N/A</v>
      </c>
      <c r="AR452" s="360" t="e">
        <f t="shared" si="85"/>
        <v>#N/A</v>
      </c>
      <c r="AS452" s="360" t="e">
        <f t="shared" si="85"/>
        <v>#N/A</v>
      </c>
      <c r="AT452" s="360" t="e">
        <f t="shared" si="85"/>
        <v>#N/A</v>
      </c>
      <c r="AU452" s="360" t="e">
        <f t="shared" si="85"/>
        <v>#N/A</v>
      </c>
      <c r="AV452" s="360" t="e">
        <f t="shared" si="85"/>
        <v>#N/A</v>
      </c>
      <c r="AW452" s="360" t="e">
        <f t="shared" si="85"/>
        <v>#N/A</v>
      </c>
      <c r="AX452" s="179"/>
      <c r="AY452" s="179"/>
      <c r="AZ452" s="179"/>
      <c r="BA452" s="106"/>
    </row>
    <row r="453" spans="1:53" s="104" customFormat="1" outlineLevel="1">
      <c r="A453" s="477" t="str">
        <f t="shared" ref="A453:A516" si="86">A452</f>
        <v>1</v>
      </c>
      <c r="C453" s="539"/>
      <c r="D453" s="539" t="s">
        <v>1407</v>
      </c>
      <c r="L453" s="362" t="s">
        <v>149</v>
      </c>
      <c r="M453" s="363" t="s">
        <v>513</v>
      </c>
      <c r="N453" s="364"/>
      <c r="O453" s="404"/>
      <c r="P453" s="404"/>
      <c r="Q453" s="404"/>
      <c r="R453" s="405">
        <f t="shared" si="83"/>
        <v>0</v>
      </c>
      <c r="S453" s="404" t="e">
        <f>SUMIFS(INDEX(Сценарии!$O$15:$AP$53,,MATCH(S$3,Сценарии!$O$3:$AP$3,0)),Сценарии!$A$15:$A$53,$A453,Сценарии!$B$15:$B$53,"ИОР")</f>
        <v>#N/A</v>
      </c>
      <c r="T453" s="404" t="e">
        <f>SUMIFS(INDEX(Сценарии!$O$15:$AP$53,,MATCH(T$3,Сценарии!$O$3:$AP$3,0)),Сценарии!$A$15:$A$53,$A453,Сценарии!$B$15:$B$53,"ИОР")</f>
        <v>#N/A</v>
      </c>
      <c r="U453" s="404" t="e">
        <f>SUMIFS(INDEX(Сценарии!$O$15:$AP$53,,MATCH(U$3,Сценарии!$O$3:$AP$3,0)),Сценарии!$A$15:$A$53,$A453,Сценарии!$B$15:$B$53,"ИОР")</f>
        <v>#N/A</v>
      </c>
      <c r="V453" s="404" t="e">
        <f>SUMIFS(INDEX(Сценарии!$O$15:$AP$53,,MATCH(V$3,Сценарии!$O$3:$AP$3,0)),Сценарии!$A$15:$A$53,$A453,Сценарии!$B$15:$B$53,"ИОР")</f>
        <v>#N/A</v>
      </c>
      <c r="W453" s="404" t="e">
        <f>SUMIFS(INDEX(Сценарии!$O$15:$AP$53,,MATCH(W$3,Сценарии!$O$3:$AP$3,0)),Сценарии!$A$15:$A$53,$A453,Сценарии!$B$15:$B$53,"ИОР")</f>
        <v>#N/A</v>
      </c>
      <c r="X453" s="404" t="e">
        <f>SUMIFS(INDEX(Сценарии!$O$15:$AP$53,,MATCH(X$3,Сценарии!$O$3:$AP$3,0)),Сценарии!$A$15:$A$53,$A453,Сценарии!$B$15:$B$53,"ИОР")</f>
        <v>#N/A</v>
      </c>
      <c r="Y453" s="404" t="e">
        <f>SUMIFS(INDEX(Сценарии!$O$15:$AP$53,,MATCH(Y$3,Сценарии!$O$3:$AP$3,0)),Сценарии!$A$15:$A$53,$A453,Сценарии!$B$15:$B$53,"ИОР")</f>
        <v>#N/A</v>
      </c>
      <c r="Z453" s="404" t="e">
        <f>SUMIFS(INDEX(Сценарии!$O$15:$AP$53,,MATCH(Z$3,Сценарии!$O$3:$AP$3,0)),Сценарии!$A$15:$A$53,$A453,Сценарии!$B$15:$B$53,"ИОР")</f>
        <v>#N/A</v>
      </c>
      <c r="AA453" s="404" t="e">
        <f>SUMIFS(INDEX(Сценарии!$O$15:$AP$53,,MATCH(AA$3,Сценарии!$O$3:$AP$3,0)),Сценарии!$A$15:$A$53,$A453,Сценарии!$B$15:$B$53,"ИОР")</f>
        <v>#N/A</v>
      </c>
      <c r="AB453" s="404" t="e">
        <f>SUMIFS(INDEX(Сценарии!$O$15:$AP$53,,MATCH(AB$3,Сценарии!$O$3:$AP$3,0)),Сценарии!$A$15:$A$53,$A453,Сценарии!$B$15:$B$53,"ИОР")</f>
        <v>#N/A</v>
      </c>
      <c r="AC453" s="404" t="e">
        <f>SUMIFS(INDEX(Сценарии!$O$15:$AP$53,,MATCH(AC$3,Сценарии!$O$3:$AP$3,0)),Сценарии!$A$15:$A$53,$A453,Сценарии!$B$15:$B$53,"ИОР")</f>
        <v>#N/A</v>
      </c>
      <c r="AD453" s="404" t="e">
        <f>SUMIFS(INDEX(Сценарии!$O$15:$AP$53,,MATCH(AD$3,Сценарии!$O$3:$AP$3,0)),Сценарии!$A$15:$A$53,$A453,Сценарии!$B$15:$B$53,"ИОР")</f>
        <v>#N/A</v>
      </c>
      <c r="AE453" s="404" t="e">
        <f>SUMIFS(INDEX(Сценарии!$O$15:$AP$53,,MATCH(AE$3,Сценарии!$O$3:$AP$3,0)),Сценарии!$A$15:$A$53,$A453,Сценарии!$B$15:$B$53,"ИОР")</f>
        <v>#N/A</v>
      </c>
      <c r="AF453" s="404" t="e">
        <f>SUMIFS(INDEX(Сценарии!$O$15:$AP$53,,MATCH(AF$3,Сценарии!$O$3:$AP$3,0)),Сценарии!$A$15:$A$53,$A453,Сценарии!$B$15:$B$53,"ИОР")</f>
        <v>#N/A</v>
      </c>
      <c r="AG453" s="404" t="e">
        <f>SUMIFS(INDEX(Сценарии!$O$15:$AP$53,,MATCH(AG$3,Сценарии!$O$3:$AP$3,0)),Сценарии!$A$15:$A$53,$A453,Сценарии!$B$15:$B$53,"ИОР")</f>
        <v>#N/A</v>
      </c>
      <c r="AH453" s="404" t="e">
        <f>SUMIFS(INDEX(Сценарии!$O$15:$AP$53,,MATCH(AH$3,Сценарии!$O$3:$AP$3,0)),Сценарии!$A$15:$A$53,$A453,Сценарии!$B$15:$B$53,"ИОР")</f>
        <v>#N/A</v>
      </c>
      <c r="AI453" s="404" t="e">
        <f>SUMIFS(INDEX(Сценарии!$O$15:$AP$53,,MATCH(AI$3,Сценарии!$O$3:$AP$3,0)),Сценарии!$A$15:$A$53,$A453,Сценарии!$B$15:$B$53,"ИОР")</f>
        <v>#N/A</v>
      </c>
      <c r="AJ453" s="404" t="e">
        <f>SUMIFS(INDEX(Сценарии!$O$15:$AP$53,,MATCH(AJ$3,Сценарии!$O$3:$AP$3,0)),Сценарии!$A$15:$A$53,$A453,Сценарии!$B$15:$B$53,"ИОР")</f>
        <v>#N/A</v>
      </c>
      <c r="AK453" s="404" t="e">
        <f>SUMIFS(INDEX(Сценарии!$O$15:$AP$53,,MATCH(AK$3,Сценарии!$O$3:$AP$3,0)),Сценарии!$A$15:$A$53,$A453,Сценарии!$B$15:$B$53,"ИОР")</f>
        <v>#N/A</v>
      </c>
      <c r="AL453" s="404" t="e">
        <f>SUMIFS(INDEX(Сценарии!$O$15:$AP$53,,MATCH(AL$3,Сценарии!$O$3:$AP$3,0)),Сценарии!$A$15:$A$53,$A453,Сценарии!$B$15:$B$53,"ИОР")</f>
        <v>#N/A</v>
      </c>
      <c r="AM453" s="404" t="e">
        <f>SUMIFS(INDEX(Сценарии!$O$15:$AP$53,,MATCH(AM$3,Сценарии!$O$3:$AP$3,0)),Сценарии!$A$15:$A$53,$A453,Сценарии!$B$15:$B$53,"ИОР")</f>
        <v>#N/A</v>
      </c>
      <c r="AN453" s="388"/>
      <c r="AO453" s="388"/>
      <c r="AP453" s="388"/>
      <c r="AQ453" s="388"/>
      <c r="AR453" s="388"/>
      <c r="AS453" s="388"/>
      <c r="AT453" s="388"/>
      <c r="AU453" s="388"/>
      <c r="AV453" s="388"/>
      <c r="AW453" s="388"/>
      <c r="AX453" s="179"/>
      <c r="AY453" s="179"/>
      <c r="AZ453" s="179"/>
    </row>
    <row r="454" spans="1:53" s="106" customFormat="1" outlineLevel="1">
      <c r="A454" s="477" t="str">
        <f t="shared" si="86"/>
        <v>1</v>
      </c>
      <c r="C454" s="538"/>
      <c r="D454" s="538" t="s">
        <v>1408</v>
      </c>
      <c r="L454" s="357" t="s">
        <v>150</v>
      </c>
      <c r="M454" s="469" t="s">
        <v>514</v>
      </c>
      <c r="N454" s="359" t="s">
        <v>352</v>
      </c>
      <c r="O454" s="466"/>
      <c r="P454" s="360" t="e">
        <f>SUM(P455,P458,P459,P462,P463)</f>
        <v>#N/A</v>
      </c>
      <c r="Q454" s="360" t="e">
        <f>SUM(Q455,Q458,Q459,Q462,Q463)</f>
        <v>#N/A</v>
      </c>
      <c r="R454" s="360" t="e">
        <f t="shared" si="83"/>
        <v>#N/A</v>
      </c>
      <c r="S454" s="466"/>
      <c r="T454" s="466"/>
      <c r="U454" s="466"/>
      <c r="V454" s="466"/>
      <c r="W454" s="466"/>
      <c r="X454" s="466"/>
      <c r="Y454" s="466"/>
      <c r="Z454" s="466"/>
      <c r="AA454" s="466"/>
      <c r="AB454" s="466"/>
      <c r="AC454" s="466"/>
      <c r="AD454" s="466"/>
      <c r="AE454" s="466"/>
      <c r="AF454" s="466"/>
      <c r="AG454" s="466"/>
      <c r="AH454" s="466"/>
      <c r="AI454" s="466"/>
      <c r="AJ454" s="466"/>
      <c r="AK454" s="466"/>
      <c r="AL454" s="466"/>
      <c r="AM454" s="466"/>
      <c r="AN454" s="466"/>
      <c r="AO454" s="466"/>
      <c r="AP454" s="466"/>
      <c r="AQ454" s="466"/>
      <c r="AR454" s="466"/>
      <c r="AS454" s="466"/>
      <c r="AT454" s="466"/>
      <c r="AU454" s="466"/>
      <c r="AV454" s="466"/>
      <c r="AW454" s="466"/>
      <c r="AX454" s="467"/>
      <c r="AY454" s="467"/>
      <c r="AZ454" s="467"/>
    </row>
    <row r="455" spans="1:53" s="104" customFormat="1" ht="22.8" outlineLevel="1">
      <c r="A455" s="477" t="str">
        <f t="shared" si="86"/>
        <v>1</v>
      </c>
      <c r="C455" s="539"/>
      <c r="D455" s="539" t="s">
        <v>1409</v>
      </c>
      <c r="L455" s="362" t="s">
        <v>515</v>
      </c>
      <c r="M455" s="369" t="s">
        <v>516</v>
      </c>
      <c r="N455" s="400" t="s">
        <v>352</v>
      </c>
      <c r="O455" s="388"/>
      <c r="P455" s="366">
        <f>SUM(P456,P457)</f>
        <v>0</v>
      </c>
      <c r="Q455" s="366">
        <f>SUM(Q456,Q457)</f>
        <v>0</v>
      </c>
      <c r="R455" s="366">
        <f t="shared" si="83"/>
        <v>0</v>
      </c>
      <c r="S455" s="388"/>
      <c r="T455" s="388"/>
      <c r="U455" s="388"/>
      <c r="V455" s="388"/>
      <c r="W455" s="388"/>
      <c r="X455" s="388"/>
      <c r="Y455" s="388"/>
      <c r="Z455" s="388"/>
      <c r="AA455" s="388"/>
      <c r="AB455" s="388"/>
      <c r="AC455" s="388"/>
      <c r="AD455" s="388"/>
      <c r="AE455" s="388"/>
      <c r="AF455" s="388"/>
      <c r="AG455" s="388"/>
      <c r="AH455" s="388"/>
      <c r="AI455" s="388"/>
      <c r="AJ455" s="388"/>
      <c r="AK455" s="388"/>
      <c r="AL455" s="388"/>
      <c r="AM455" s="388"/>
      <c r="AN455" s="388"/>
      <c r="AO455" s="388"/>
      <c r="AP455" s="388"/>
      <c r="AQ455" s="388"/>
      <c r="AR455" s="388"/>
      <c r="AS455" s="388"/>
      <c r="AT455" s="388"/>
      <c r="AU455" s="388"/>
      <c r="AV455" s="388"/>
      <c r="AW455" s="388"/>
      <c r="AX455" s="179"/>
      <c r="AY455" s="179"/>
      <c r="AZ455" s="179"/>
      <c r="BA455" s="108"/>
    </row>
    <row r="456" spans="1:53" s="104" customFormat="1" outlineLevel="1">
      <c r="A456" s="477" t="str">
        <f t="shared" si="86"/>
        <v>1</v>
      </c>
      <c r="C456" s="539"/>
      <c r="D456" s="539" t="s">
        <v>1508</v>
      </c>
      <c r="L456" s="362" t="s">
        <v>517</v>
      </c>
      <c r="M456" s="371" t="s">
        <v>518</v>
      </c>
      <c r="N456" s="368" t="s">
        <v>352</v>
      </c>
      <c r="O456" s="388"/>
      <c r="P456" s="365"/>
      <c r="Q456" s="365"/>
      <c r="R456" s="366">
        <f t="shared" si="83"/>
        <v>0</v>
      </c>
      <c r="S456" s="388"/>
      <c r="T456" s="388"/>
      <c r="U456" s="388"/>
      <c r="V456" s="388"/>
      <c r="W456" s="388"/>
      <c r="X456" s="388"/>
      <c r="Y456" s="388"/>
      <c r="Z456" s="388"/>
      <c r="AA456" s="388"/>
      <c r="AB456" s="388"/>
      <c r="AC456" s="388"/>
      <c r="AD456" s="388"/>
      <c r="AE456" s="388"/>
      <c r="AF456" s="388"/>
      <c r="AG456" s="388"/>
      <c r="AH456" s="388"/>
      <c r="AI456" s="388"/>
      <c r="AJ456" s="388"/>
      <c r="AK456" s="388"/>
      <c r="AL456" s="388"/>
      <c r="AM456" s="388"/>
      <c r="AN456" s="388"/>
      <c r="AO456" s="388"/>
      <c r="AP456" s="388"/>
      <c r="AQ456" s="388"/>
      <c r="AR456" s="388"/>
      <c r="AS456" s="388"/>
      <c r="AT456" s="388"/>
      <c r="AU456" s="388"/>
      <c r="AV456" s="388"/>
      <c r="AW456" s="388"/>
      <c r="AX456" s="179"/>
      <c r="AY456" s="179"/>
      <c r="AZ456" s="179"/>
    </row>
    <row r="457" spans="1:53" s="104" customFormat="1" outlineLevel="1">
      <c r="A457" s="477" t="str">
        <f t="shared" si="86"/>
        <v>1</v>
      </c>
      <c r="C457" s="539"/>
      <c r="D457" s="539" t="s">
        <v>1509</v>
      </c>
      <c r="L457" s="362" t="s">
        <v>519</v>
      </c>
      <c r="M457" s="372" t="s">
        <v>520</v>
      </c>
      <c r="N457" s="368" t="s">
        <v>352</v>
      </c>
      <c r="O457" s="388"/>
      <c r="P457" s="365"/>
      <c r="Q457" s="365"/>
      <c r="R457" s="366">
        <f t="shared" si="83"/>
        <v>0</v>
      </c>
      <c r="S457" s="388"/>
      <c r="T457" s="388"/>
      <c r="U457" s="388"/>
      <c r="V457" s="388"/>
      <c r="W457" s="388"/>
      <c r="X457" s="388"/>
      <c r="Y457" s="388"/>
      <c r="Z457" s="388"/>
      <c r="AA457" s="388"/>
      <c r="AB457" s="388"/>
      <c r="AC457" s="388"/>
      <c r="AD457" s="388"/>
      <c r="AE457" s="388"/>
      <c r="AF457" s="388"/>
      <c r="AG457" s="388"/>
      <c r="AH457" s="388"/>
      <c r="AI457" s="388"/>
      <c r="AJ457" s="388"/>
      <c r="AK457" s="388"/>
      <c r="AL457" s="388"/>
      <c r="AM457" s="388"/>
      <c r="AN457" s="388"/>
      <c r="AO457" s="388"/>
      <c r="AP457" s="388"/>
      <c r="AQ457" s="388"/>
      <c r="AR457" s="388"/>
      <c r="AS457" s="388"/>
      <c r="AT457" s="388"/>
      <c r="AU457" s="388"/>
      <c r="AV457" s="388"/>
      <c r="AW457" s="388"/>
      <c r="AX457" s="179"/>
      <c r="AY457" s="179"/>
      <c r="AZ457" s="179"/>
    </row>
    <row r="458" spans="1:53" s="104" customFormat="1" ht="22.8" outlineLevel="1">
      <c r="A458" s="477" t="str">
        <f t="shared" si="86"/>
        <v>1</v>
      </c>
      <c r="C458" s="539"/>
      <c r="D458" s="539" t="s">
        <v>1410</v>
      </c>
      <c r="L458" s="362" t="s">
        <v>521</v>
      </c>
      <c r="M458" s="369" t="s">
        <v>522</v>
      </c>
      <c r="N458" s="400" t="s">
        <v>352</v>
      </c>
      <c r="O458" s="388"/>
      <c r="P458" s="365"/>
      <c r="Q458" s="365"/>
      <c r="R458" s="366">
        <f t="shared" si="83"/>
        <v>0</v>
      </c>
      <c r="S458" s="388"/>
      <c r="T458" s="388"/>
      <c r="U458" s="388"/>
      <c r="V458" s="388"/>
      <c r="W458" s="388"/>
      <c r="X458" s="388"/>
      <c r="Y458" s="388"/>
      <c r="Z458" s="388"/>
      <c r="AA458" s="388"/>
      <c r="AB458" s="388"/>
      <c r="AC458" s="388"/>
      <c r="AD458" s="388"/>
      <c r="AE458" s="388"/>
      <c r="AF458" s="388"/>
      <c r="AG458" s="388"/>
      <c r="AH458" s="388"/>
      <c r="AI458" s="388"/>
      <c r="AJ458" s="388"/>
      <c r="AK458" s="388"/>
      <c r="AL458" s="388"/>
      <c r="AM458" s="388"/>
      <c r="AN458" s="388"/>
      <c r="AO458" s="388"/>
      <c r="AP458" s="388"/>
      <c r="AQ458" s="388"/>
      <c r="AR458" s="388"/>
      <c r="AS458" s="388"/>
      <c r="AT458" s="388"/>
      <c r="AU458" s="388"/>
      <c r="AV458" s="388"/>
      <c r="AW458" s="388"/>
      <c r="AX458" s="179"/>
      <c r="AY458" s="179"/>
      <c r="AZ458" s="179"/>
    </row>
    <row r="459" spans="1:53" s="104" customFormat="1" ht="34.200000000000003" outlineLevel="1">
      <c r="A459" s="477" t="str">
        <f t="shared" si="86"/>
        <v>1</v>
      </c>
      <c r="C459" s="539"/>
      <c r="D459" s="539" t="s">
        <v>1422</v>
      </c>
      <c r="L459" s="362" t="s">
        <v>523</v>
      </c>
      <c r="M459" s="369" t="s">
        <v>1612</v>
      </c>
      <c r="N459" s="368" t="s">
        <v>352</v>
      </c>
      <c r="O459" s="388"/>
      <c r="P459" s="373" t="e">
        <f>P460+P461</f>
        <v>#N/A</v>
      </c>
      <c r="Q459" s="373" t="e">
        <f>Q460+Q461</f>
        <v>#N/A</v>
      </c>
      <c r="R459" s="366" t="e">
        <f t="shared" si="83"/>
        <v>#N/A</v>
      </c>
      <c r="S459" s="388"/>
      <c r="T459" s="388"/>
      <c r="U459" s="388"/>
      <c r="V459" s="388"/>
      <c r="W459" s="388"/>
      <c r="X459" s="388"/>
      <c r="Y459" s="388"/>
      <c r="Z459" s="388"/>
      <c r="AA459" s="388"/>
      <c r="AB459" s="388"/>
      <c r="AC459" s="388"/>
      <c r="AD459" s="388"/>
      <c r="AE459" s="388"/>
      <c r="AF459" s="388"/>
      <c r="AG459" s="388"/>
      <c r="AH459" s="388"/>
      <c r="AI459" s="388"/>
      <c r="AJ459" s="388"/>
      <c r="AK459" s="388"/>
      <c r="AL459" s="388"/>
      <c r="AM459" s="388"/>
      <c r="AN459" s="388"/>
      <c r="AO459" s="388"/>
      <c r="AP459" s="388"/>
      <c r="AQ459" s="388"/>
      <c r="AR459" s="388"/>
      <c r="AS459" s="388"/>
      <c r="AT459" s="388"/>
      <c r="AU459" s="388"/>
      <c r="AV459" s="388"/>
      <c r="AW459" s="388"/>
      <c r="AX459" s="179"/>
      <c r="AY459" s="179"/>
      <c r="AZ459" s="179"/>
    </row>
    <row r="460" spans="1:53" s="104" customFormat="1" ht="22.8" outlineLevel="1">
      <c r="A460" s="477" t="str">
        <f t="shared" si="86"/>
        <v>1</v>
      </c>
      <c r="B460" s="540" t="s">
        <v>1510</v>
      </c>
      <c r="C460" s="539"/>
      <c r="D460" s="539" t="s">
        <v>1423</v>
      </c>
      <c r="L460" s="362" t="s">
        <v>524</v>
      </c>
      <c r="M460" s="371" t="s">
        <v>525</v>
      </c>
      <c r="N460" s="400" t="s">
        <v>352</v>
      </c>
      <c r="O460" s="388"/>
      <c r="P460" s="365"/>
      <c r="Q460" s="365"/>
      <c r="R460" s="366">
        <f t="shared" si="83"/>
        <v>0</v>
      </c>
      <c r="S460" s="388"/>
      <c r="T460" s="388"/>
      <c r="U460" s="388"/>
      <c r="V460" s="388"/>
      <c r="W460" s="388"/>
      <c r="X460" s="388"/>
      <c r="Y460" s="388"/>
      <c r="Z460" s="388"/>
      <c r="AA460" s="388"/>
      <c r="AB460" s="388"/>
      <c r="AC460" s="388"/>
      <c r="AD460" s="388"/>
      <c r="AE460" s="388"/>
      <c r="AF460" s="388"/>
      <c r="AG460" s="388"/>
      <c r="AH460" s="388"/>
      <c r="AI460" s="388"/>
      <c r="AJ460" s="388"/>
      <c r="AK460" s="388"/>
      <c r="AL460" s="388"/>
      <c r="AM460" s="388"/>
      <c r="AN460" s="388"/>
      <c r="AO460" s="388"/>
      <c r="AP460" s="388"/>
      <c r="AQ460" s="388"/>
      <c r="AR460" s="388"/>
      <c r="AS460" s="388"/>
      <c r="AT460" s="388"/>
      <c r="AU460" s="388"/>
      <c r="AV460" s="388"/>
      <c r="AW460" s="388"/>
      <c r="AX460" s="179"/>
      <c r="AY460" s="179"/>
      <c r="AZ460" s="179"/>
    </row>
    <row r="461" spans="1:53" s="104" customFormat="1" ht="22.8" outlineLevel="1">
      <c r="A461" s="477" t="str">
        <f t="shared" si="86"/>
        <v>1</v>
      </c>
      <c r="B461" s="540" t="s">
        <v>1511</v>
      </c>
      <c r="C461" s="539"/>
      <c r="D461" s="539" t="s">
        <v>1424</v>
      </c>
      <c r="L461" s="362" t="s">
        <v>526</v>
      </c>
      <c r="M461" s="371" t="s">
        <v>1613</v>
      </c>
      <c r="N461" s="368" t="s">
        <v>352</v>
      </c>
      <c r="O461" s="388"/>
      <c r="P461" s="365" t="e">
        <f>P460* SUMIFS(INDEX(Сценарии!$O$15:$AP$53,,MATCH(P$3,Сценарии!$O$3:$AP$3,0)),Сценарии!$A$15:$A$53,$A461,Сценарии!$B$15:$B$53,"СВФОТ")/100</f>
        <v>#N/A</v>
      </c>
      <c r="Q461" s="365" t="e">
        <f>Q460* SUMIFS(INDEX(Сценарии!$O$15:$AP$53,,MATCH(Q$3,Сценарии!$O$3:$AP$3,0)),Сценарии!$A$15:$A$53,$A461,Сценарии!$B$15:$B$53,"СВФОТ")/100</f>
        <v>#N/A</v>
      </c>
      <c r="R461" s="366" t="e">
        <f t="shared" si="83"/>
        <v>#N/A</v>
      </c>
      <c r="S461" s="388"/>
      <c r="T461" s="388"/>
      <c r="U461" s="388"/>
      <c r="V461" s="388"/>
      <c r="W461" s="388"/>
      <c r="X461" s="388"/>
      <c r="Y461" s="388"/>
      <c r="Z461" s="388"/>
      <c r="AA461" s="388"/>
      <c r="AB461" s="388"/>
      <c r="AC461" s="388"/>
      <c r="AD461" s="388"/>
      <c r="AE461" s="388"/>
      <c r="AF461" s="388"/>
      <c r="AG461" s="388"/>
      <c r="AH461" s="388"/>
      <c r="AI461" s="388"/>
      <c r="AJ461" s="388"/>
      <c r="AK461" s="388"/>
      <c r="AL461" s="388"/>
      <c r="AM461" s="388"/>
      <c r="AN461" s="388"/>
      <c r="AO461" s="388"/>
      <c r="AP461" s="388"/>
      <c r="AQ461" s="388"/>
      <c r="AR461" s="388"/>
      <c r="AS461" s="388"/>
      <c r="AT461" s="388"/>
      <c r="AU461" s="388"/>
      <c r="AV461" s="388"/>
      <c r="AW461" s="388"/>
      <c r="AX461" s="179"/>
      <c r="AY461" s="179"/>
      <c r="AZ461" s="179"/>
    </row>
    <row r="462" spans="1:53" s="104" customFormat="1" outlineLevel="1">
      <c r="A462" s="477" t="str">
        <f t="shared" si="86"/>
        <v>1</v>
      </c>
      <c r="C462" s="539"/>
      <c r="D462" s="539" t="s">
        <v>1426</v>
      </c>
      <c r="L462" s="362" t="s">
        <v>527</v>
      </c>
      <c r="M462" s="369" t="s">
        <v>528</v>
      </c>
      <c r="N462" s="400" t="s">
        <v>352</v>
      </c>
      <c r="O462" s="388"/>
      <c r="P462" s="365"/>
      <c r="Q462" s="365"/>
      <c r="R462" s="366">
        <f t="shared" si="83"/>
        <v>0</v>
      </c>
      <c r="S462" s="388"/>
      <c r="T462" s="388"/>
      <c r="U462" s="388"/>
      <c r="V462" s="388"/>
      <c r="W462" s="388"/>
      <c r="X462" s="388"/>
      <c r="Y462" s="388"/>
      <c r="Z462" s="388"/>
      <c r="AA462" s="388"/>
      <c r="AB462" s="388"/>
      <c r="AC462" s="388"/>
      <c r="AD462" s="388"/>
      <c r="AE462" s="388"/>
      <c r="AF462" s="388"/>
      <c r="AG462" s="388"/>
      <c r="AH462" s="388"/>
      <c r="AI462" s="388"/>
      <c r="AJ462" s="388"/>
      <c r="AK462" s="388"/>
      <c r="AL462" s="388"/>
      <c r="AM462" s="388"/>
      <c r="AN462" s="388"/>
      <c r="AO462" s="388"/>
      <c r="AP462" s="388"/>
      <c r="AQ462" s="388"/>
      <c r="AR462" s="388"/>
      <c r="AS462" s="388"/>
      <c r="AT462" s="388"/>
      <c r="AU462" s="388"/>
      <c r="AV462" s="388"/>
      <c r="AW462" s="388"/>
      <c r="AX462" s="179"/>
      <c r="AY462" s="179"/>
      <c r="AZ462" s="179"/>
    </row>
    <row r="463" spans="1:53" s="104" customFormat="1" outlineLevel="1">
      <c r="A463" s="477" t="str">
        <f t="shared" si="86"/>
        <v>1</v>
      </c>
      <c r="C463" s="539"/>
      <c r="D463" s="539" t="s">
        <v>1427</v>
      </c>
      <c r="L463" s="362" t="s">
        <v>529</v>
      </c>
      <c r="M463" s="374" t="s">
        <v>530</v>
      </c>
      <c r="N463" s="364" t="s">
        <v>352</v>
      </c>
      <c r="O463" s="388"/>
      <c r="P463" s="370">
        <f>SUM(P464:P470)</f>
        <v>0</v>
      </c>
      <c r="Q463" s="370">
        <f>SUM(Q464:Q470)</f>
        <v>0</v>
      </c>
      <c r="R463" s="366">
        <f t="shared" si="83"/>
        <v>0</v>
      </c>
      <c r="S463" s="388"/>
      <c r="T463" s="388"/>
      <c r="U463" s="388"/>
      <c r="V463" s="388"/>
      <c r="W463" s="388"/>
      <c r="X463" s="388"/>
      <c r="Y463" s="388"/>
      <c r="Z463" s="388"/>
      <c r="AA463" s="388"/>
      <c r="AB463" s="388"/>
      <c r="AC463" s="388"/>
      <c r="AD463" s="388"/>
      <c r="AE463" s="388"/>
      <c r="AF463" s="388"/>
      <c r="AG463" s="388"/>
      <c r="AH463" s="388"/>
      <c r="AI463" s="388"/>
      <c r="AJ463" s="388"/>
      <c r="AK463" s="388"/>
      <c r="AL463" s="388"/>
      <c r="AM463" s="388"/>
      <c r="AN463" s="388"/>
      <c r="AO463" s="388"/>
      <c r="AP463" s="388"/>
      <c r="AQ463" s="388"/>
      <c r="AR463" s="388"/>
      <c r="AS463" s="388"/>
      <c r="AT463" s="388"/>
      <c r="AU463" s="388"/>
      <c r="AV463" s="388"/>
      <c r="AW463" s="388"/>
      <c r="AX463" s="179"/>
      <c r="AY463" s="179"/>
      <c r="AZ463" s="179"/>
    </row>
    <row r="464" spans="1:53" s="104" customFormat="1" outlineLevel="1">
      <c r="A464" s="477" t="str">
        <f t="shared" si="86"/>
        <v>1</v>
      </c>
      <c r="C464" s="539"/>
      <c r="D464" s="539" t="s">
        <v>1512</v>
      </c>
      <c r="L464" s="362" t="s">
        <v>531</v>
      </c>
      <c r="M464" s="372" t="s">
        <v>532</v>
      </c>
      <c r="N464" s="364" t="s">
        <v>352</v>
      </c>
      <c r="O464" s="388"/>
      <c r="P464" s="365"/>
      <c r="Q464" s="365"/>
      <c r="R464" s="366">
        <f t="shared" si="83"/>
        <v>0</v>
      </c>
      <c r="S464" s="388"/>
      <c r="T464" s="388"/>
      <c r="U464" s="388"/>
      <c r="V464" s="388"/>
      <c r="W464" s="388"/>
      <c r="X464" s="388"/>
      <c r="Y464" s="388"/>
      <c r="Z464" s="388"/>
      <c r="AA464" s="388"/>
      <c r="AB464" s="388"/>
      <c r="AC464" s="388"/>
      <c r="AD464" s="388"/>
      <c r="AE464" s="388"/>
      <c r="AF464" s="388"/>
      <c r="AG464" s="388"/>
      <c r="AH464" s="388"/>
      <c r="AI464" s="388"/>
      <c r="AJ464" s="388"/>
      <c r="AK464" s="388"/>
      <c r="AL464" s="388"/>
      <c r="AM464" s="388"/>
      <c r="AN464" s="388"/>
      <c r="AO464" s="388"/>
      <c r="AP464" s="388"/>
      <c r="AQ464" s="388"/>
      <c r="AR464" s="388"/>
      <c r="AS464" s="388"/>
      <c r="AT464" s="388"/>
      <c r="AU464" s="388"/>
      <c r="AV464" s="388"/>
      <c r="AW464" s="388"/>
      <c r="AX464" s="179"/>
      <c r="AY464" s="179"/>
      <c r="AZ464" s="179"/>
    </row>
    <row r="465" spans="1:52" s="104" customFormat="1" ht="22.8" outlineLevel="1">
      <c r="A465" s="477" t="str">
        <f t="shared" si="86"/>
        <v>1</v>
      </c>
      <c r="C465" s="539"/>
      <c r="D465" s="539" t="s">
        <v>1513</v>
      </c>
      <c r="L465" s="362" t="s">
        <v>533</v>
      </c>
      <c r="M465" s="372" t="s">
        <v>534</v>
      </c>
      <c r="N465" s="364" t="s">
        <v>352</v>
      </c>
      <c r="O465" s="388"/>
      <c r="P465" s="365"/>
      <c r="Q465" s="365"/>
      <c r="R465" s="366">
        <f t="shared" si="83"/>
        <v>0</v>
      </c>
      <c r="S465" s="388"/>
      <c r="T465" s="388"/>
      <c r="U465" s="388"/>
      <c r="V465" s="388"/>
      <c r="W465" s="388"/>
      <c r="X465" s="388"/>
      <c r="Y465" s="388"/>
      <c r="Z465" s="388"/>
      <c r="AA465" s="388"/>
      <c r="AB465" s="388"/>
      <c r="AC465" s="388"/>
      <c r="AD465" s="388"/>
      <c r="AE465" s="388"/>
      <c r="AF465" s="388"/>
      <c r="AG465" s="388"/>
      <c r="AH465" s="388"/>
      <c r="AI465" s="388"/>
      <c r="AJ465" s="388"/>
      <c r="AK465" s="388"/>
      <c r="AL465" s="388"/>
      <c r="AM465" s="388"/>
      <c r="AN465" s="388"/>
      <c r="AO465" s="388"/>
      <c r="AP465" s="388"/>
      <c r="AQ465" s="388"/>
      <c r="AR465" s="388"/>
      <c r="AS465" s="388"/>
      <c r="AT465" s="388"/>
      <c r="AU465" s="388"/>
      <c r="AV465" s="388"/>
      <c r="AW465" s="388"/>
      <c r="AX465" s="179"/>
      <c r="AY465" s="179"/>
      <c r="AZ465" s="179"/>
    </row>
    <row r="466" spans="1:52" s="104" customFormat="1" ht="22.8" outlineLevel="1">
      <c r="A466" s="477" t="str">
        <f t="shared" si="86"/>
        <v>1</v>
      </c>
      <c r="C466" s="539"/>
      <c r="D466" s="539" t="s">
        <v>1514</v>
      </c>
      <c r="L466" s="362" t="s">
        <v>535</v>
      </c>
      <c r="M466" s="375" t="s">
        <v>536</v>
      </c>
      <c r="N466" s="364" t="s">
        <v>352</v>
      </c>
      <c r="O466" s="388"/>
      <c r="P466" s="365"/>
      <c r="Q466" s="365"/>
      <c r="R466" s="366">
        <f t="shared" si="83"/>
        <v>0</v>
      </c>
      <c r="S466" s="388"/>
      <c r="T466" s="388"/>
      <c r="U466" s="388"/>
      <c r="V466" s="388"/>
      <c r="W466" s="388"/>
      <c r="X466" s="388"/>
      <c r="Y466" s="388"/>
      <c r="Z466" s="388"/>
      <c r="AA466" s="388"/>
      <c r="AB466" s="388"/>
      <c r="AC466" s="388"/>
      <c r="AD466" s="388"/>
      <c r="AE466" s="388"/>
      <c r="AF466" s="388"/>
      <c r="AG466" s="388"/>
      <c r="AH466" s="388"/>
      <c r="AI466" s="388"/>
      <c r="AJ466" s="388"/>
      <c r="AK466" s="388"/>
      <c r="AL466" s="388"/>
      <c r="AM466" s="388"/>
      <c r="AN466" s="388"/>
      <c r="AO466" s="388"/>
      <c r="AP466" s="388"/>
      <c r="AQ466" s="388"/>
      <c r="AR466" s="388"/>
      <c r="AS466" s="388"/>
      <c r="AT466" s="388"/>
      <c r="AU466" s="388"/>
      <c r="AV466" s="388"/>
      <c r="AW466" s="388"/>
      <c r="AX466" s="179"/>
      <c r="AY466" s="179"/>
      <c r="AZ466" s="179"/>
    </row>
    <row r="467" spans="1:52" s="104" customFormat="1" ht="22.8" outlineLevel="1">
      <c r="A467" s="477" t="str">
        <f t="shared" si="86"/>
        <v>1</v>
      </c>
      <c r="C467" s="539"/>
      <c r="D467" s="539" t="s">
        <v>1515</v>
      </c>
      <c r="L467" s="362" t="s">
        <v>537</v>
      </c>
      <c r="M467" s="375" t="s">
        <v>538</v>
      </c>
      <c r="N467" s="364" t="s">
        <v>352</v>
      </c>
      <c r="O467" s="388"/>
      <c r="P467" s="365"/>
      <c r="Q467" s="365"/>
      <c r="R467" s="366">
        <f t="shared" si="83"/>
        <v>0</v>
      </c>
      <c r="S467" s="388"/>
      <c r="T467" s="388"/>
      <c r="U467" s="388"/>
      <c r="V467" s="388"/>
      <c r="W467" s="388"/>
      <c r="X467" s="388"/>
      <c r="Y467" s="388"/>
      <c r="Z467" s="388"/>
      <c r="AA467" s="388"/>
      <c r="AB467" s="388"/>
      <c r="AC467" s="388"/>
      <c r="AD467" s="388"/>
      <c r="AE467" s="388"/>
      <c r="AF467" s="388"/>
      <c r="AG467" s="388"/>
      <c r="AH467" s="388"/>
      <c r="AI467" s="388"/>
      <c r="AJ467" s="388"/>
      <c r="AK467" s="388"/>
      <c r="AL467" s="388"/>
      <c r="AM467" s="388"/>
      <c r="AN467" s="388"/>
      <c r="AO467" s="388"/>
      <c r="AP467" s="388"/>
      <c r="AQ467" s="388"/>
      <c r="AR467" s="388"/>
      <c r="AS467" s="388"/>
      <c r="AT467" s="388"/>
      <c r="AU467" s="388"/>
      <c r="AV467" s="388"/>
      <c r="AW467" s="388"/>
      <c r="AX467" s="179"/>
      <c r="AY467" s="179"/>
      <c r="AZ467" s="179"/>
    </row>
    <row r="468" spans="1:52" s="104" customFormat="1" ht="68.400000000000006" outlineLevel="1">
      <c r="A468" s="477" t="str">
        <f t="shared" si="86"/>
        <v>1</v>
      </c>
      <c r="C468" s="539"/>
      <c r="D468" s="539" t="s">
        <v>1516</v>
      </c>
      <c r="L468" s="362" t="s">
        <v>539</v>
      </c>
      <c r="M468" s="372" t="s">
        <v>540</v>
      </c>
      <c r="N468" s="364" t="s">
        <v>352</v>
      </c>
      <c r="O468" s="388"/>
      <c r="P468" s="365"/>
      <c r="Q468" s="365"/>
      <c r="R468" s="366">
        <f t="shared" si="83"/>
        <v>0</v>
      </c>
      <c r="S468" s="388"/>
      <c r="T468" s="388"/>
      <c r="U468" s="388"/>
      <c r="V468" s="388"/>
      <c r="W468" s="388"/>
      <c r="X468" s="388"/>
      <c r="Y468" s="388"/>
      <c r="Z468" s="388"/>
      <c r="AA468" s="388"/>
      <c r="AB468" s="388"/>
      <c r="AC468" s="388"/>
      <c r="AD468" s="388"/>
      <c r="AE468" s="388"/>
      <c r="AF468" s="388"/>
      <c r="AG468" s="388"/>
      <c r="AH468" s="388"/>
      <c r="AI468" s="388"/>
      <c r="AJ468" s="388"/>
      <c r="AK468" s="388"/>
      <c r="AL468" s="388"/>
      <c r="AM468" s="388"/>
      <c r="AN468" s="388"/>
      <c r="AO468" s="388"/>
      <c r="AP468" s="388"/>
      <c r="AQ468" s="388"/>
      <c r="AR468" s="388"/>
      <c r="AS468" s="388"/>
      <c r="AT468" s="388"/>
      <c r="AU468" s="388"/>
      <c r="AV468" s="388"/>
      <c r="AW468" s="388"/>
      <c r="AX468" s="179"/>
      <c r="AY468" s="179"/>
      <c r="AZ468" s="179"/>
    </row>
    <row r="469" spans="1:52" s="104" customFormat="1" outlineLevel="1">
      <c r="A469" s="477" t="str">
        <f t="shared" si="86"/>
        <v>1</v>
      </c>
      <c r="C469" s="539"/>
      <c r="D469" s="539" t="s">
        <v>1517</v>
      </c>
      <c r="L469" s="362" t="s">
        <v>541</v>
      </c>
      <c r="M469" s="372" t="s">
        <v>542</v>
      </c>
      <c r="N469" s="364" t="s">
        <v>352</v>
      </c>
      <c r="O469" s="388"/>
      <c r="P469" s="365"/>
      <c r="Q469" s="365"/>
      <c r="R469" s="366">
        <f t="shared" si="83"/>
        <v>0</v>
      </c>
      <c r="S469" s="388"/>
      <c r="T469" s="388"/>
      <c r="U469" s="388"/>
      <c r="V469" s="388"/>
      <c r="W469" s="388"/>
      <c r="X469" s="388"/>
      <c r="Y469" s="388"/>
      <c r="Z469" s="388"/>
      <c r="AA469" s="388"/>
      <c r="AB469" s="388"/>
      <c r="AC469" s="388"/>
      <c r="AD469" s="388"/>
      <c r="AE469" s="388"/>
      <c r="AF469" s="388"/>
      <c r="AG469" s="388"/>
      <c r="AH469" s="388"/>
      <c r="AI469" s="388"/>
      <c r="AJ469" s="388"/>
      <c r="AK469" s="388"/>
      <c r="AL469" s="388"/>
      <c r="AM469" s="388"/>
      <c r="AN469" s="388"/>
      <c r="AO469" s="388"/>
      <c r="AP469" s="388"/>
      <c r="AQ469" s="388"/>
      <c r="AR469" s="388"/>
      <c r="AS469" s="388"/>
      <c r="AT469" s="388"/>
      <c r="AU469" s="388"/>
      <c r="AV469" s="388"/>
      <c r="AW469" s="388"/>
      <c r="AX469" s="179"/>
      <c r="AY469" s="179"/>
      <c r="AZ469" s="179"/>
    </row>
    <row r="470" spans="1:52" s="104" customFormat="1" outlineLevel="1">
      <c r="A470" s="477" t="str">
        <f t="shared" si="86"/>
        <v>1</v>
      </c>
      <c r="C470" s="539"/>
      <c r="D470" s="539" t="s">
        <v>1518</v>
      </c>
      <c r="L470" s="362" t="s">
        <v>1403</v>
      </c>
      <c r="M470" s="372" t="s">
        <v>1404</v>
      </c>
      <c r="N470" s="364" t="s">
        <v>352</v>
      </c>
      <c r="O470" s="388"/>
      <c r="P470" s="365"/>
      <c r="Q470" s="365"/>
      <c r="R470" s="366">
        <f>Q470-P470</f>
        <v>0</v>
      </c>
      <c r="S470" s="388"/>
      <c r="T470" s="388"/>
      <c r="U470" s="388"/>
      <c r="V470" s="388"/>
      <c r="W470" s="388"/>
      <c r="X470" s="388"/>
      <c r="Y470" s="388"/>
      <c r="Z470" s="388"/>
      <c r="AA470" s="388"/>
      <c r="AB470" s="388"/>
      <c r="AC470" s="388"/>
      <c r="AD470" s="388"/>
      <c r="AE470" s="388"/>
      <c r="AF470" s="388"/>
      <c r="AG470" s="388"/>
      <c r="AH470" s="388"/>
      <c r="AI470" s="388"/>
      <c r="AJ470" s="388"/>
      <c r="AK470" s="388"/>
      <c r="AL470" s="388"/>
      <c r="AM470" s="388"/>
      <c r="AN470" s="388"/>
      <c r="AO470" s="388"/>
      <c r="AP470" s="388"/>
      <c r="AQ470" s="388"/>
      <c r="AR470" s="388"/>
      <c r="AS470" s="388"/>
      <c r="AT470" s="388"/>
      <c r="AU470" s="388"/>
      <c r="AV470" s="388"/>
      <c r="AW470" s="388"/>
      <c r="AX470" s="179"/>
      <c r="AY470" s="179"/>
      <c r="AZ470" s="179"/>
    </row>
    <row r="471" spans="1:52" s="109" customFormat="1" outlineLevel="1">
      <c r="A471" s="477" t="str">
        <f t="shared" si="86"/>
        <v>1</v>
      </c>
      <c r="C471" s="539"/>
      <c r="D471" s="539" t="s">
        <v>1519</v>
      </c>
      <c r="L471" s="381" t="s">
        <v>360</v>
      </c>
      <c r="M471" s="465" t="s">
        <v>543</v>
      </c>
      <c r="N471" s="382" t="s">
        <v>352</v>
      </c>
      <c r="O471" s="466"/>
      <c r="P471" s="385">
        <f>P472+P473+P474</f>
        <v>0</v>
      </c>
      <c r="Q471" s="385">
        <f>Q472+Q473+Q474</f>
        <v>0</v>
      </c>
      <c r="R471" s="360">
        <f t="shared" si="83"/>
        <v>0</v>
      </c>
      <c r="S471" s="466"/>
      <c r="T471" s="466"/>
      <c r="U471" s="466"/>
      <c r="V471" s="466"/>
      <c r="W471" s="466"/>
      <c r="X471" s="466"/>
      <c r="Y471" s="466"/>
      <c r="Z471" s="466"/>
      <c r="AA471" s="466"/>
      <c r="AB471" s="466"/>
      <c r="AC471" s="466"/>
      <c r="AD471" s="466"/>
      <c r="AE471" s="466"/>
      <c r="AF471" s="466"/>
      <c r="AG471" s="466"/>
      <c r="AH471" s="466"/>
      <c r="AI471" s="466"/>
      <c r="AJ471" s="466"/>
      <c r="AK471" s="466"/>
      <c r="AL471" s="466"/>
      <c r="AM471" s="466"/>
      <c r="AN471" s="466"/>
      <c r="AO471" s="466"/>
      <c r="AP471" s="466"/>
      <c r="AQ471" s="466"/>
      <c r="AR471" s="466"/>
      <c r="AS471" s="466"/>
      <c r="AT471" s="466"/>
      <c r="AU471" s="466"/>
      <c r="AV471" s="466"/>
      <c r="AW471" s="466"/>
      <c r="AX471" s="467"/>
      <c r="AY471" s="467"/>
      <c r="AZ471" s="467"/>
    </row>
    <row r="472" spans="1:52" s="104" customFormat="1" ht="34.200000000000003" outlineLevel="1">
      <c r="A472" s="477" t="str">
        <f t="shared" si="86"/>
        <v>1</v>
      </c>
      <c r="C472" s="539"/>
      <c r="D472" s="539" t="s">
        <v>1520</v>
      </c>
      <c r="L472" s="362" t="s">
        <v>544</v>
      </c>
      <c r="M472" s="369" t="s">
        <v>545</v>
      </c>
      <c r="N472" s="364" t="s">
        <v>352</v>
      </c>
      <c r="O472" s="388"/>
      <c r="P472" s="365"/>
      <c r="Q472" s="365"/>
      <c r="R472" s="366">
        <f t="shared" si="83"/>
        <v>0</v>
      </c>
      <c r="S472" s="388"/>
      <c r="T472" s="388"/>
      <c r="U472" s="388"/>
      <c r="V472" s="388"/>
      <c r="W472" s="388"/>
      <c r="X472" s="388"/>
      <c r="Y472" s="388"/>
      <c r="Z472" s="388"/>
      <c r="AA472" s="388"/>
      <c r="AB472" s="388"/>
      <c r="AC472" s="388"/>
      <c r="AD472" s="388"/>
      <c r="AE472" s="388"/>
      <c r="AF472" s="388"/>
      <c r="AG472" s="388"/>
      <c r="AH472" s="388"/>
      <c r="AI472" s="388"/>
      <c r="AJ472" s="388"/>
      <c r="AK472" s="388"/>
      <c r="AL472" s="388"/>
      <c r="AM472" s="388"/>
      <c r="AN472" s="388"/>
      <c r="AO472" s="388"/>
      <c r="AP472" s="388"/>
      <c r="AQ472" s="388"/>
      <c r="AR472" s="388"/>
      <c r="AS472" s="388"/>
      <c r="AT472" s="388"/>
      <c r="AU472" s="388"/>
      <c r="AV472" s="388"/>
      <c r="AW472" s="388"/>
      <c r="AX472" s="179"/>
      <c r="AY472" s="179"/>
      <c r="AZ472" s="179"/>
    </row>
    <row r="473" spans="1:52" s="104" customFormat="1" ht="34.200000000000003" outlineLevel="1">
      <c r="A473" s="477" t="str">
        <f t="shared" si="86"/>
        <v>1</v>
      </c>
      <c r="C473" s="539"/>
      <c r="D473" s="539" t="s">
        <v>1521</v>
      </c>
      <c r="L473" s="362" t="s">
        <v>546</v>
      </c>
      <c r="M473" s="374" t="s">
        <v>547</v>
      </c>
      <c r="N473" s="364" t="s">
        <v>352</v>
      </c>
      <c r="O473" s="388"/>
      <c r="P473" s="365"/>
      <c r="Q473" s="365"/>
      <c r="R473" s="366">
        <f t="shared" si="83"/>
        <v>0</v>
      </c>
      <c r="S473" s="388"/>
      <c r="T473" s="388"/>
      <c r="U473" s="388"/>
      <c r="V473" s="388"/>
      <c r="W473" s="388"/>
      <c r="X473" s="388"/>
      <c r="Y473" s="388"/>
      <c r="Z473" s="388"/>
      <c r="AA473" s="388"/>
      <c r="AB473" s="388"/>
      <c r="AC473" s="388"/>
      <c r="AD473" s="388"/>
      <c r="AE473" s="388"/>
      <c r="AF473" s="388"/>
      <c r="AG473" s="388"/>
      <c r="AH473" s="388"/>
      <c r="AI473" s="388"/>
      <c r="AJ473" s="388"/>
      <c r="AK473" s="388"/>
      <c r="AL473" s="388"/>
      <c r="AM473" s="388"/>
      <c r="AN473" s="388"/>
      <c r="AO473" s="388"/>
      <c r="AP473" s="388"/>
      <c r="AQ473" s="388"/>
      <c r="AR473" s="388"/>
      <c r="AS473" s="388"/>
      <c r="AT473" s="388"/>
      <c r="AU473" s="388"/>
      <c r="AV473" s="388"/>
      <c r="AW473" s="388"/>
      <c r="AX473" s="179"/>
      <c r="AY473" s="179"/>
      <c r="AZ473" s="179"/>
    </row>
    <row r="474" spans="1:52" s="104" customFormat="1" ht="34.200000000000003" outlineLevel="1">
      <c r="A474" s="477" t="str">
        <f t="shared" si="86"/>
        <v>1</v>
      </c>
      <c r="C474" s="539"/>
      <c r="D474" s="539" t="s">
        <v>1522</v>
      </c>
      <c r="L474" s="362" t="s">
        <v>548</v>
      </c>
      <c r="M474" s="374" t="s">
        <v>1614</v>
      </c>
      <c r="N474" s="364" t="s">
        <v>352</v>
      </c>
      <c r="O474" s="388"/>
      <c r="P474" s="365"/>
      <c r="Q474" s="365"/>
      <c r="R474" s="366">
        <f t="shared" si="83"/>
        <v>0</v>
      </c>
      <c r="S474" s="388"/>
      <c r="T474" s="388"/>
      <c r="U474" s="388"/>
      <c r="V474" s="388"/>
      <c r="W474" s="388"/>
      <c r="X474" s="388"/>
      <c r="Y474" s="388"/>
      <c r="Z474" s="388"/>
      <c r="AA474" s="388"/>
      <c r="AB474" s="388"/>
      <c r="AC474" s="388"/>
      <c r="AD474" s="388"/>
      <c r="AE474" s="388"/>
      <c r="AF474" s="388"/>
      <c r="AG474" s="388"/>
      <c r="AH474" s="388"/>
      <c r="AI474" s="388"/>
      <c r="AJ474" s="388"/>
      <c r="AK474" s="388"/>
      <c r="AL474" s="388"/>
      <c r="AM474" s="388"/>
      <c r="AN474" s="388"/>
      <c r="AO474" s="388"/>
      <c r="AP474" s="388"/>
      <c r="AQ474" s="388"/>
      <c r="AR474" s="388"/>
      <c r="AS474" s="388"/>
      <c r="AT474" s="388"/>
      <c r="AU474" s="388"/>
      <c r="AV474" s="388"/>
      <c r="AW474" s="388"/>
      <c r="AX474" s="179"/>
      <c r="AY474" s="179"/>
      <c r="AZ474" s="179"/>
    </row>
    <row r="475" spans="1:52" s="104" customFormat="1" ht="14.4" outlineLevel="1">
      <c r="A475" s="477" t="str">
        <f t="shared" si="86"/>
        <v>1</v>
      </c>
      <c r="B475" s="503" t="s">
        <v>1523</v>
      </c>
      <c r="C475" s="539"/>
      <c r="D475" s="539" t="s">
        <v>1524</v>
      </c>
      <c r="L475" s="362" t="s">
        <v>1154</v>
      </c>
      <c r="M475" s="371" t="s">
        <v>549</v>
      </c>
      <c r="N475" s="364" t="s">
        <v>352</v>
      </c>
      <c r="O475" s="388"/>
      <c r="P475" s="365"/>
      <c r="Q475" s="365"/>
      <c r="R475" s="366">
        <f t="shared" si="83"/>
        <v>0</v>
      </c>
      <c r="S475" s="388"/>
      <c r="T475" s="388"/>
      <c r="U475" s="388"/>
      <c r="V475" s="388"/>
      <c r="W475" s="388"/>
      <c r="X475" s="388"/>
      <c r="Y475" s="388"/>
      <c r="Z475" s="388"/>
      <c r="AA475" s="388"/>
      <c r="AB475" s="388"/>
      <c r="AC475" s="388"/>
      <c r="AD475" s="388"/>
      <c r="AE475" s="388"/>
      <c r="AF475" s="388"/>
      <c r="AG475" s="388"/>
      <c r="AH475" s="388"/>
      <c r="AI475" s="388"/>
      <c r="AJ475" s="388"/>
      <c r="AK475" s="388"/>
      <c r="AL475" s="388"/>
      <c r="AM475" s="388"/>
      <c r="AN475" s="388"/>
      <c r="AO475" s="388"/>
      <c r="AP475" s="388"/>
      <c r="AQ475" s="388"/>
      <c r="AR475" s="388"/>
      <c r="AS475" s="388"/>
      <c r="AT475" s="388"/>
      <c r="AU475" s="388"/>
      <c r="AV475" s="388"/>
      <c r="AW475" s="388"/>
      <c r="AX475" s="179"/>
      <c r="AY475" s="179"/>
      <c r="AZ475" s="179"/>
    </row>
    <row r="476" spans="1:52" s="104" customFormat="1" ht="22.8" outlineLevel="1">
      <c r="A476" s="477" t="str">
        <f t="shared" si="86"/>
        <v>1</v>
      </c>
      <c r="B476" s="503" t="s">
        <v>1525</v>
      </c>
      <c r="C476" s="539"/>
      <c r="D476" s="539" t="s">
        <v>1526</v>
      </c>
      <c r="L476" s="362" t="s">
        <v>1155</v>
      </c>
      <c r="M476" s="371" t="s">
        <v>1615</v>
      </c>
      <c r="N476" s="364" t="s">
        <v>352</v>
      </c>
      <c r="O476" s="388"/>
      <c r="P476" s="365" t="e">
        <f>P475* SUMIFS(INDEX(Сценарии!$O$15:$AP$53,,MATCH(P$3,Сценарии!$O$3:$AP$3,0)),Сценарии!$A$15:$A$53,$A476,Сценарии!$B$15:$B$53,"СВФОТ")/100</f>
        <v>#N/A</v>
      </c>
      <c r="Q476" s="365" t="e">
        <f>Q475* SUMIFS(INDEX(Сценарии!$O$15:$AP$53,,MATCH(Q$3,Сценарии!$O$3:$AP$3,0)),Сценарии!$A$15:$A$53,$A476,Сценарии!$B$15:$B$53,"СВФОТ")/100</f>
        <v>#N/A</v>
      </c>
      <c r="R476" s="366" t="e">
        <f t="shared" si="83"/>
        <v>#N/A</v>
      </c>
      <c r="S476" s="388"/>
      <c r="T476" s="388"/>
      <c r="U476" s="388"/>
      <c r="V476" s="388"/>
      <c r="W476" s="388"/>
      <c r="X476" s="388"/>
      <c r="Y476" s="388"/>
      <c r="Z476" s="388"/>
      <c r="AA476" s="388"/>
      <c r="AB476" s="388"/>
      <c r="AC476" s="388"/>
      <c r="AD476" s="388"/>
      <c r="AE476" s="388"/>
      <c r="AF476" s="388"/>
      <c r="AG476" s="388"/>
      <c r="AH476" s="388"/>
      <c r="AI476" s="388"/>
      <c r="AJ476" s="388"/>
      <c r="AK476" s="388"/>
      <c r="AL476" s="388"/>
      <c r="AM476" s="388"/>
      <c r="AN476" s="388"/>
      <c r="AO476" s="388"/>
      <c r="AP476" s="388"/>
      <c r="AQ476" s="388"/>
      <c r="AR476" s="388"/>
      <c r="AS476" s="388"/>
      <c r="AT476" s="388"/>
      <c r="AU476" s="388"/>
      <c r="AV476" s="388"/>
      <c r="AW476" s="388"/>
      <c r="AX476" s="179"/>
      <c r="AY476" s="179"/>
      <c r="AZ476" s="179"/>
    </row>
    <row r="477" spans="1:52" s="109" customFormat="1" outlineLevel="1">
      <c r="A477" s="477" t="str">
        <f t="shared" si="86"/>
        <v>1</v>
      </c>
      <c r="C477" s="539"/>
      <c r="D477" s="539" t="s">
        <v>1527</v>
      </c>
      <c r="L477" s="381" t="s">
        <v>362</v>
      </c>
      <c r="M477" s="465" t="s">
        <v>550</v>
      </c>
      <c r="N477" s="382" t="s">
        <v>352</v>
      </c>
      <c r="O477" s="466"/>
      <c r="P477" s="385" t="e">
        <f>P478+P486+P489+P490+P491+P492+P493</f>
        <v>#N/A</v>
      </c>
      <c r="Q477" s="385" t="e">
        <f>Q478+Q486+Q489+Q490+Q491+Q492+Q493</f>
        <v>#N/A</v>
      </c>
      <c r="R477" s="360" t="e">
        <f t="shared" si="83"/>
        <v>#N/A</v>
      </c>
      <c r="S477" s="466"/>
      <c r="T477" s="466"/>
      <c r="U477" s="466"/>
      <c r="V477" s="466"/>
      <c r="W477" s="466"/>
      <c r="X477" s="466"/>
      <c r="Y477" s="466"/>
      <c r="Z477" s="466"/>
      <c r="AA477" s="466"/>
      <c r="AB477" s="466"/>
      <c r="AC477" s="466"/>
      <c r="AD477" s="466"/>
      <c r="AE477" s="466"/>
      <c r="AF477" s="466"/>
      <c r="AG477" s="466"/>
      <c r="AH477" s="466"/>
      <c r="AI477" s="466"/>
      <c r="AJ477" s="466"/>
      <c r="AK477" s="466"/>
      <c r="AL477" s="466"/>
      <c r="AM477" s="466"/>
      <c r="AN477" s="466"/>
      <c r="AO477" s="466"/>
      <c r="AP477" s="466"/>
      <c r="AQ477" s="466"/>
      <c r="AR477" s="466"/>
      <c r="AS477" s="466"/>
      <c r="AT477" s="466"/>
      <c r="AU477" s="466"/>
      <c r="AV477" s="466"/>
      <c r="AW477" s="466"/>
      <c r="AX477" s="467"/>
      <c r="AY477" s="467"/>
      <c r="AZ477" s="467"/>
    </row>
    <row r="478" spans="1:52" s="104" customFormat="1" ht="22.8" outlineLevel="1">
      <c r="A478" s="477" t="str">
        <f t="shared" si="86"/>
        <v>1</v>
      </c>
      <c r="B478" s="104" t="s">
        <v>1528</v>
      </c>
      <c r="C478" s="539"/>
      <c r="D478" s="539" t="s">
        <v>1529</v>
      </c>
      <c r="L478" s="362" t="s">
        <v>551</v>
      </c>
      <c r="M478" s="369" t="s">
        <v>552</v>
      </c>
      <c r="N478" s="364" t="s">
        <v>352</v>
      </c>
      <c r="O478" s="388"/>
      <c r="P478" s="373">
        <f>SUM(P479:P485)</f>
        <v>0</v>
      </c>
      <c r="Q478" s="373">
        <f>SUM(Q479:Q485)</f>
        <v>0</v>
      </c>
      <c r="R478" s="366">
        <f t="shared" si="83"/>
        <v>0</v>
      </c>
      <c r="S478" s="388"/>
      <c r="T478" s="388"/>
      <c r="U478" s="388"/>
      <c r="V478" s="388"/>
      <c r="W478" s="388"/>
      <c r="X478" s="388"/>
      <c r="Y478" s="388"/>
      <c r="Z478" s="388"/>
      <c r="AA478" s="388"/>
      <c r="AB478" s="388"/>
      <c r="AC478" s="388"/>
      <c r="AD478" s="388"/>
      <c r="AE478" s="388"/>
      <c r="AF478" s="388"/>
      <c r="AG478" s="388"/>
      <c r="AH478" s="388"/>
      <c r="AI478" s="388"/>
      <c r="AJ478" s="388"/>
      <c r="AK478" s="388"/>
      <c r="AL478" s="388"/>
      <c r="AM478" s="388"/>
      <c r="AN478" s="388"/>
      <c r="AO478" s="388"/>
      <c r="AP478" s="388"/>
      <c r="AQ478" s="388"/>
      <c r="AR478" s="388"/>
      <c r="AS478" s="388"/>
      <c r="AT478" s="388"/>
      <c r="AU478" s="388"/>
      <c r="AV478" s="388"/>
      <c r="AW478" s="388"/>
      <c r="AX478" s="179"/>
      <c r="AY478" s="179"/>
      <c r="AZ478" s="179"/>
    </row>
    <row r="479" spans="1:52" s="104" customFormat="1" outlineLevel="1">
      <c r="A479" s="477" t="str">
        <f t="shared" si="86"/>
        <v>1</v>
      </c>
      <c r="B479" s="104" t="s">
        <v>1530</v>
      </c>
      <c r="C479" s="539"/>
      <c r="D479" s="539" t="s">
        <v>1531</v>
      </c>
      <c r="L479" s="362" t="s">
        <v>553</v>
      </c>
      <c r="M479" s="371" t="s">
        <v>554</v>
      </c>
      <c r="N479" s="364" t="s">
        <v>352</v>
      </c>
      <c r="O479" s="388"/>
      <c r="P479" s="365"/>
      <c r="Q479" s="365"/>
      <c r="R479" s="366">
        <f t="shared" si="83"/>
        <v>0</v>
      </c>
      <c r="S479" s="388"/>
      <c r="T479" s="388"/>
      <c r="U479" s="388"/>
      <c r="V479" s="388"/>
      <c r="W479" s="388"/>
      <c r="X479" s="388"/>
      <c r="Y479" s="388"/>
      <c r="Z479" s="388"/>
      <c r="AA479" s="388"/>
      <c r="AB479" s="388"/>
      <c r="AC479" s="388"/>
      <c r="AD479" s="388"/>
      <c r="AE479" s="388"/>
      <c r="AF479" s="388"/>
      <c r="AG479" s="388"/>
      <c r="AH479" s="388"/>
      <c r="AI479" s="388"/>
      <c r="AJ479" s="388"/>
      <c r="AK479" s="388"/>
      <c r="AL479" s="388"/>
      <c r="AM479" s="388"/>
      <c r="AN479" s="388"/>
      <c r="AO479" s="388"/>
      <c r="AP479" s="388"/>
      <c r="AQ479" s="388"/>
      <c r="AR479" s="388"/>
      <c r="AS479" s="388"/>
      <c r="AT479" s="388"/>
      <c r="AU479" s="388"/>
      <c r="AV479" s="388"/>
      <c r="AW479" s="388"/>
      <c r="AX479" s="179"/>
      <c r="AY479" s="179"/>
      <c r="AZ479" s="179"/>
    </row>
    <row r="480" spans="1:52" s="104" customFormat="1" outlineLevel="1">
      <c r="A480" s="477" t="str">
        <f t="shared" si="86"/>
        <v>1</v>
      </c>
      <c r="B480" s="104" t="s">
        <v>1532</v>
      </c>
      <c r="C480" s="539"/>
      <c r="D480" s="539" t="s">
        <v>1533</v>
      </c>
      <c r="L480" s="362" t="s">
        <v>555</v>
      </c>
      <c r="M480" s="371" t="s">
        <v>556</v>
      </c>
      <c r="N480" s="364" t="s">
        <v>352</v>
      </c>
      <c r="O480" s="388"/>
      <c r="P480" s="365"/>
      <c r="Q480" s="365"/>
      <c r="R480" s="366">
        <f t="shared" si="83"/>
        <v>0</v>
      </c>
      <c r="S480" s="388"/>
      <c r="T480" s="388"/>
      <c r="U480" s="388"/>
      <c r="V480" s="388"/>
      <c r="W480" s="388"/>
      <c r="X480" s="388"/>
      <c r="Y480" s="388"/>
      <c r="Z480" s="388"/>
      <c r="AA480" s="388"/>
      <c r="AB480" s="388"/>
      <c r="AC480" s="388"/>
      <c r="AD480" s="388"/>
      <c r="AE480" s="388"/>
      <c r="AF480" s="388"/>
      <c r="AG480" s="388"/>
      <c r="AH480" s="388"/>
      <c r="AI480" s="388"/>
      <c r="AJ480" s="388"/>
      <c r="AK480" s="388"/>
      <c r="AL480" s="388"/>
      <c r="AM480" s="388"/>
      <c r="AN480" s="388"/>
      <c r="AO480" s="388"/>
      <c r="AP480" s="388"/>
      <c r="AQ480" s="388"/>
      <c r="AR480" s="388"/>
      <c r="AS480" s="388"/>
      <c r="AT480" s="388"/>
      <c r="AU480" s="388"/>
      <c r="AV480" s="388"/>
      <c r="AW480" s="388"/>
      <c r="AX480" s="179"/>
      <c r="AY480" s="179"/>
      <c r="AZ480" s="179"/>
    </row>
    <row r="481" spans="1:52" s="104" customFormat="1" outlineLevel="1">
      <c r="A481" s="477" t="str">
        <f t="shared" si="86"/>
        <v>1</v>
      </c>
      <c r="B481" s="104" t="s">
        <v>1534</v>
      </c>
      <c r="C481" s="539"/>
      <c r="D481" s="539" t="s">
        <v>1535</v>
      </c>
      <c r="L481" s="362" t="s">
        <v>557</v>
      </c>
      <c r="M481" s="371" t="s">
        <v>558</v>
      </c>
      <c r="N481" s="364" t="s">
        <v>352</v>
      </c>
      <c r="O481" s="388"/>
      <c r="P481" s="365"/>
      <c r="Q481" s="365"/>
      <c r="R481" s="366">
        <f t="shared" si="83"/>
        <v>0</v>
      </c>
      <c r="S481" s="388"/>
      <c r="T481" s="388"/>
      <c r="U481" s="388"/>
      <c r="V481" s="388"/>
      <c r="W481" s="388"/>
      <c r="X481" s="388"/>
      <c r="Y481" s="388"/>
      <c r="Z481" s="388"/>
      <c r="AA481" s="388"/>
      <c r="AB481" s="388"/>
      <c r="AC481" s="388"/>
      <c r="AD481" s="388"/>
      <c r="AE481" s="388"/>
      <c r="AF481" s="388"/>
      <c r="AG481" s="388"/>
      <c r="AH481" s="388"/>
      <c r="AI481" s="388"/>
      <c r="AJ481" s="388"/>
      <c r="AK481" s="388"/>
      <c r="AL481" s="388"/>
      <c r="AM481" s="388"/>
      <c r="AN481" s="388"/>
      <c r="AO481" s="388"/>
      <c r="AP481" s="388"/>
      <c r="AQ481" s="388"/>
      <c r="AR481" s="388"/>
      <c r="AS481" s="388"/>
      <c r="AT481" s="388"/>
      <c r="AU481" s="388"/>
      <c r="AV481" s="388"/>
      <c r="AW481" s="388"/>
      <c r="AX481" s="179"/>
      <c r="AY481" s="179"/>
      <c r="AZ481" s="179"/>
    </row>
    <row r="482" spans="1:52" s="104" customFormat="1" outlineLevel="1">
      <c r="A482" s="477" t="str">
        <f t="shared" si="86"/>
        <v>1</v>
      </c>
      <c r="B482" s="104" t="s">
        <v>1536</v>
      </c>
      <c r="C482" s="539"/>
      <c r="D482" s="539" t="s">
        <v>1537</v>
      </c>
      <c r="L482" s="362" t="s">
        <v>559</v>
      </c>
      <c r="M482" s="371" t="s">
        <v>560</v>
      </c>
      <c r="N482" s="364" t="s">
        <v>352</v>
      </c>
      <c r="O482" s="388"/>
      <c r="P482" s="365"/>
      <c r="Q482" s="365"/>
      <c r="R482" s="366">
        <f t="shared" si="83"/>
        <v>0</v>
      </c>
      <c r="S482" s="388"/>
      <c r="T482" s="388"/>
      <c r="U482" s="388"/>
      <c r="V482" s="388"/>
      <c r="W482" s="388"/>
      <c r="X482" s="388"/>
      <c r="Y482" s="388"/>
      <c r="Z482" s="388"/>
      <c r="AA482" s="388"/>
      <c r="AB482" s="388"/>
      <c r="AC482" s="388"/>
      <c r="AD482" s="388"/>
      <c r="AE482" s="388"/>
      <c r="AF482" s="388"/>
      <c r="AG482" s="388"/>
      <c r="AH482" s="388"/>
      <c r="AI482" s="388"/>
      <c r="AJ482" s="388"/>
      <c r="AK482" s="388"/>
      <c r="AL482" s="388"/>
      <c r="AM482" s="388"/>
      <c r="AN482" s="388"/>
      <c r="AO482" s="388"/>
      <c r="AP482" s="388"/>
      <c r="AQ482" s="388"/>
      <c r="AR482" s="388"/>
      <c r="AS482" s="388"/>
      <c r="AT482" s="388"/>
      <c r="AU482" s="388"/>
      <c r="AV482" s="388"/>
      <c r="AW482" s="388"/>
      <c r="AX482" s="179"/>
      <c r="AY482" s="179"/>
      <c r="AZ482" s="179"/>
    </row>
    <row r="483" spans="1:52" s="104" customFormat="1" ht="22.8" outlineLevel="1">
      <c r="A483" s="477" t="str">
        <f t="shared" si="86"/>
        <v>1</v>
      </c>
      <c r="B483" s="104" t="s">
        <v>1538</v>
      </c>
      <c r="C483" s="539"/>
      <c r="D483" s="539" t="s">
        <v>1539</v>
      </c>
      <c r="L483" s="362" t="s">
        <v>561</v>
      </c>
      <c r="M483" s="371" t="s">
        <v>562</v>
      </c>
      <c r="N483" s="364" t="s">
        <v>352</v>
      </c>
      <c r="O483" s="388"/>
      <c r="P483" s="365"/>
      <c r="Q483" s="365"/>
      <c r="R483" s="366">
        <f t="shared" si="83"/>
        <v>0</v>
      </c>
      <c r="S483" s="388"/>
      <c r="T483" s="388"/>
      <c r="U483" s="388"/>
      <c r="V483" s="388"/>
      <c r="W483" s="388"/>
      <c r="X483" s="388"/>
      <c r="Y483" s="388"/>
      <c r="Z483" s="388"/>
      <c r="AA483" s="388"/>
      <c r="AB483" s="388"/>
      <c r="AC483" s="388"/>
      <c r="AD483" s="388"/>
      <c r="AE483" s="388"/>
      <c r="AF483" s="388"/>
      <c r="AG483" s="388"/>
      <c r="AH483" s="388"/>
      <c r="AI483" s="388"/>
      <c r="AJ483" s="388"/>
      <c r="AK483" s="388"/>
      <c r="AL483" s="388"/>
      <c r="AM483" s="388"/>
      <c r="AN483" s="388"/>
      <c r="AO483" s="388"/>
      <c r="AP483" s="388"/>
      <c r="AQ483" s="388"/>
      <c r="AR483" s="388"/>
      <c r="AS483" s="388"/>
      <c r="AT483" s="388"/>
      <c r="AU483" s="388"/>
      <c r="AV483" s="388"/>
      <c r="AW483" s="388"/>
      <c r="AX483" s="179"/>
      <c r="AY483" s="179"/>
      <c r="AZ483" s="179"/>
    </row>
    <row r="484" spans="1:52" s="104" customFormat="1" outlineLevel="1">
      <c r="A484" s="477" t="str">
        <f t="shared" si="86"/>
        <v>1</v>
      </c>
      <c r="B484" s="104" t="s">
        <v>1540</v>
      </c>
      <c r="C484" s="539"/>
      <c r="D484" s="539" t="s">
        <v>1541</v>
      </c>
      <c r="L484" s="362" t="s">
        <v>563</v>
      </c>
      <c r="M484" s="371" t="s">
        <v>564</v>
      </c>
      <c r="N484" s="364" t="s">
        <v>352</v>
      </c>
      <c r="O484" s="388"/>
      <c r="P484" s="365"/>
      <c r="Q484" s="365"/>
      <c r="R484" s="366">
        <f t="shared" si="83"/>
        <v>0</v>
      </c>
      <c r="S484" s="388"/>
      <c r="T484" s="388"/>
      <c r="U484" s="388"/>
      <c r="V484" s="388"/>
      <c r="W484" s="388"/>
      <c r="X484" s="388"/>
      <c r="Y484" s="388"/>
      <c r="Z484" s="388"/>
      <c r="AA484" s="388"/>
      <c r="AB484" s="388"/>
      <c r="AC484" s="388"/>
      <c r="AD484" s="388"/>
      <c r="AE484" s="388"/>
      <c r="AF484" s="388"/>
      <c r="AG484" s="388"/>
      <c r="AH484" s="388"/>
      <c r="AI484" s="388"/>
      <c r="AJ484" s="388"/>
      <c r="AK484" s="388"/>
      <c r="AL484" s="388"/>
      <c r="AM484" s="388"/>
      <c r="AN484" s="388"/>
      <c r="AO484" s="388"/>
      <c r="AP484" s="388"/>
      <c r="AQ484" s="388"/>
      <c r="AR484" s="388"/>
      <c r="AS484" s="388"/>
      <c r="AT484" s="388"/>
      <c r="AU484" s="388"/>
      <c r="AV484" s="388"/>
      <c r="AW484" s="388"/>
      <c r="AX484" s="179"/>
      <c r="AY484" s="179"/>
      <c r="AZ484" s="179"/>
    </row>
    <row r="485" spans="1:52" s="104" customFormat="1" outlineLevel="1">
      <c r="A485" s="477" t="str">
        <f t="shared" si="86"/>
        <v>1</v>
      </c>
      <c r="B485" s="104" t="s">
        <v>1542</v>
      </c>
      <c r="C485" s="539"/>
      <c r="D485" s="539" t="s">
        <v>1543</v>
      </c>
      <c r="L485" s="362" t="s">
        <v>1401</v>
      </c>
      <c r="M485" s="371" t="s">
        <v>1402</v>
      </c>
      <c r="N485" s="364" t="s">
        <v>352</v>
      </c>
      <c r="O485" s="388"/>
      <c r="P485" s="365"/>
      <c r="Q485" s="365"/>
      <c r="R485" s="366">
        <f>Q485-P485</f>
        <v>0</v>
      </c>
      <c r="S485" s="388"/>
      <c r="T485" s="388"/>
      <c r="U485" s="388"/>
      <c r="V485" s="388"/>
      <c r="W485" s="388"/>
      <c r="X485" s="388"/>
      <c r="Y485" s="388"/>
      <c r="Z485" s="388"/>
      <c r="AA485" s="388"/>
      <c r="AB485" s="388"/>
      <c r="AC485" s="388"/>
      <c r="AD485" s="388"/>
      <c r="AE485" s="388"/>
      <c r="AF485" s="388"/>
      <c r="AG485" s="388"/>
      <c r="AH485" s="388"/>
      <c r="AI485" s="388"/>
      <c r="AJ485" s="388"/>
      <c r="AK485" s="388"/>
      <c r="AL485" s="388"/>
      <c r="AM485" s="388"/>
      <c r="AN485" s="388"/>
      <c r="AO485" s="388"/>
      <c r="AP485" s="388"/>
      <c r="AQ485" s="388"/>
      <c r="AR485" s="388"/>
      <c r="AS485" s="388"/>
      <c r="AT485" s="388"/>
      <c r="AU485" s="388"/>
      <c r="AV485" s="388"/>
      <c r="AW485" s="388"/>
      <c r="AX485" s="179"/>
      <c r="AY485" s="179"/>
      <c r="AZ485" s="179"/>
    </row>
    <row r="486" spans="1:52" s="104" customFormat="1" ht="34.200000000000003" outlineLevel="1">
      <c r="A486" s="477" t="str">
        <f t="shared" si="86"/>
        <v>1</v>
      </c>
      <c r="C486" s="539"/>
      <c r="D486" s="539" t="s">
        <v>1544</v>
      </c>
      <c r="L486" s="362" t="s">
        <v>565</v>
      </c>
      <c r="M486" s="369" t="s">
        <v>1616</v>
      </c>
      <c r="N486" s="364" t="s">
        <v>352</v>
      </c>
      <c r="O486" s="388"/>
      <c r="P486" s="373" t="e">
        <f>P487+P488</f>
        <v>#N/A</v>
      </c>
      <c r="Q486" s="373" t="e">
        <f>Q487+Q488</f>
        <v>#N/A</v>
      </c>
      <c r="R486" s="366" t="e">
        <f t="shared" si="83"/>
        <v>#N/A</v>
      </c>
      <c r="S486" s="388"/>
      <c r="T486" s="388"/>
      <c r="U486" s="388"/>
      <c r="V486" s="388"/>
      <c r="W486" s="388"/>
      <c r="X486" s="388"/>
      <c r="Y486" s="388"/>
      <c r="Z486" s="388"/>
      <c r="AA486" s="388"/>
      <c r="AB486" s="388"/>
      <c r="AC486" s="388"/>
      <c r="AD486" s="388"/>
      <c r="AE486" s="388"/>
      <c r="AF486" s="388"/>
      <c r="AG486" s="388"/>
      <c r="AH486" s="388"/>
      <c r="AI486" s="388"/>
      <c r="AJ486" s="388"/>
      <c r="AK486" s="388"/>
      <c r="AL486" s="388"/>
      <c r="AM486" s="388"/>
      <c r="AN486" s="388"/>
      <c r="AO486" s="388"/>
      <c r="AP486" s="388"/>
      <c r="AQ486" s="388"/>
      <c r="AR486" s="388"/>
      <c r="AS486" s="388"/>
      <c r="AT486" s="388"/>
      <c r="AU486" s="388"/>
      <c r="AV486" s="388"/>
      <c r="AW486" s="388"/>
      <c r="AX486" s="179"/>
      <c r="AY486" s="179"/>
      <c r="AZ486" s="179"/>
    </row>
    <row r="487" spans="1:52" s="104" customFormat="1" ht="22.8" outlineLevel="1">
      <c r="A487" s="477" t="str">
        <f t="shared" si="86"/>
        <v>1</v>
      </c>
      <c r="B487" s="104" t="s">
        <v>1545</v>
      </c>
      <c r="C487" s="539"/>
      <c r="D487" s="539" t="s">
        <v>1546</v>
      </c>
      <c r="L487" s="362" t="s">
        <v>566</v>
      </c>
      <c r="M487" s="371" t="s">
        <v>567</v>
      </c>
      <c r="N487" s="376" t="s">
        <v>352</v>
      </c>
      <c r="O487" s="388"/>
      <c r="P487" s="365"/>
      <c r="Q487" s="365"/>
      <c r="R487" s="366">
        <f t="shared" si="83"/>
        <v>0</v>
      </c>
      <c r="S487" s="388"/>
      <c r="T487" s="388"/>
      <c r="U487" s="388"/>
      <c r="V487" s="388"/>
      <c r="W487" s="388"/>
      <c r="X487" s="388"/>
      <c r="Y487" s="388"/>
      <c r="Z487" s="388"/>
      <c r="AA487" s="388"/>
      <c r="AB487" s="388"/>
      <c r="AC487" s="388"/>
      <c r="AD487" s="388"/>
      <c r="AE487" s="388"/>
      <c r="AF487" s="388"/>
      <c r="AG487" s="388"/>
      <c r="AH487" s="388"/>
      <c r="AI487" s="388"/>
      <c r="AJ487" s="388"/>
      <c r="AK487" s="388"/>
      <c r="AL487" s="388"/>
      <c r="AM487" s="388"/>
      <c r="AN487" s="388"/>
      <c r="AO487" s="388"/>
      <c r="AP487" s="388"/>
      <c r="AQ487" s="388"/>
      <c r="AR487" s="388"/>
      <c r="AS487" s="388"/>
      <c r="AT487" s="388"/>
      <c r="AU487" s="388"/>
      <c r="AV487" s="388"/>
      <c r="AW487" s="388"/>
      <c r="AX487" s="179"/>
      <c r="AY487" s="179"/>
      <c r="AZ487" s="179"/>
    </row>
    <row r="488" spans="1:52" s="104" customFormat="1" ht="22.8" outlineLevel="1">
      <c r="A488" s="477" t="str">
        <f t="shared" si="86"/>
        <v>1</v>
      </c>
      <c r="B488" s="104" t="s">
        <v>1547</v>
      </c>
      <c r="C488" s="539"/>
      <c r="D488" s="539" t="s">
        <v>1548</v>
      </c>
      <c r="L488" s="362" t="s">
        <v>568</v>
      </c>
      <c r="M488" s="371" t="s">
        <v>1617</v>
      </c>
      <c r="N488" s="364" t="s">
        <v>352</v>
      </c>
      <c r="O488" s="388"/>
      <c r="P488" s="365" t="e">
        <f>P487* SUMIFS(INDEX(Сценарии!$O$15:$AP$53,,MATCH(P$3,Сценарии!$O$3:$AP$3,0)),Сценарии!$A$15:$A$53,$A488,Сценарии!$B$15:$B$53,"СВФОТ")/100</f>
        <v>#N/A</v>
      </c>
      <c r="Q488" s="365" t="e">
        <f>Q487* SUMIFS(INDEX(Сценарии!$O$15:$AP$53,,MATCH(Q$3,Сценарии!$O$3:$AP$3,0)),Сценарии!$A$15:$A$53,$A488,Сценарии!$B$15:$B$53,"СВФОТ")/100</f>
        <v>#N/A</v>
      </c>
      <c r="R488" s="366" t="e">
        <f t="shared" si="83"/>
        <v>#N/A</v>
      </c>
      <c r="S488" s="388"/>
      <c r="T488" s="388"/>
      <c r="U488" s="388"/>
      <c r="V488" s="388"/>
      <c r="W488" s="388"/>
      <c r="X488" s="388"/>
      <c r="Y488" s="388"/>
      <c r="Z488" s="388"/>
      <c r="AA488" s="388"/>
      <c r="AB488" s="388"/>
      <c r="AC488" s="388"/>
      <c r="AD488" s="388"/>
      <c r="AE488" s="388"/>
      <c r="AF488" s="388"/>
      <c r="AG488" s="388"/>
      <c r="AH488" s="388"/>
      <c r="AI488" s="388"/>
      <c r="AJ488" s="388"/>
      <c r="AK488" s="388"/>
      <c r="AL488" s="388"/>
      <c r="AM488" s="388"/>
      <c r="AN488" s="388"/>
      <c r="AO488" s="388"/>
      <c r="AP488" s="388"/>
      <c r="AQ488" s="388"/>
      <c r="AR488" s="388"/>
      <c r="AS488" s="388"/>
      <c r="AT488" s="388"/>
      <c r="AU488" s="388"/>
      <c r="AV488" s="388"/>
      <c r="AW488" s="388"/>
      <c r="AX488" s="179"/>
      <c r="AY488" s="179"/>
      <c r="AZ488" s="179"/>
    </row>
    <row r="489" spans="1:52" s="104" customFormat="1" ht="45.6" outlineLevel="1">
      <c r="A489" s="477" t="str">
        <f t="shared" si="86"/>
        <v>1</v>
      </c>
      <c r="B489" s="503" t="s">
        <v>1549</v>
      </c>
      <c r="C489" s="539"/>
      <c r="D489" s="539" t="s">
        <v>1550</v>
      </c>
      <c r="L489" s="362" t="s">
        <v>569</v>
      </c>
      <c r="M489" s="369" t="s">
        <v>570</v>
      </c>
      <c r="N489" s="364" t="s">
        <v>352</v>
      </c>
      <c r="O489" s="388"/>
      <c r="P489" s="365"/>
      <c r="Q489" s="365"/>
      <c r="R489" s="366">
        <f t="shared" si="83"/>
        <v>0</v>
      </c>
      <c r="S489" s="388"/>
      <c r="T489" s="388"/>
      <c r="U489" s="388"/>
      <c r="V489" s="388"/>
      <c r="W489" s="388"/>
      <c r="X489" s="388"/>
      <c r="Y489" s="388"/>
      <c r="Z489" s="388"/>
      <c r="AA489" s="388"/>
      <c r="AB489" s="388"/>
      <c r="AC489" s="388"/>
      <c r="AD489" s="388"/>
      <c r="AE489" s="388"/>
      <c r="AF489" s="388"/>
      <c r="AG489" s="388"/>
      <c r="AH489" s="388"/>
      <c r="AI489" s="388"/>
      <c r="AJ489" s="388"/>
      <c r="AK489" s="388"/>
      <c r="AL489" s="388"/>
      <c r="AM489" s="388"/>
      <c r="AN489" s="388"/>
      <c r="AO489" s="388"/>
      <c r="AP489" s="388"/>
      <c r="AQ489" s="388"/>
      <c r="AR489" s="388"/>
      <c r="AS489" s="388"/>
      <c r="AT489" s="388"/>
      <c r="AU489" s="388"/>
      <c r="AV489" s="388"/>
      <c r="AW489" s="388"/>
      <c r="AX489" s="179"/>
      <c r="AY489" s="179"/>
      <c r="AZ489" s="179"/>
    </row>
    <row r="490" spans="1:52" s="104" customFormat="1" ht="14.4" outlineLevel="1">
      <c r="A490" s="477" t="str">
        <f t="shared" si="86"/>
        <v>1</v>
      </c>
      <c r="B490" s="503" t="s">
        <v>1551</v>
      </c>
      <c r="C490" s="539"/>
      <c r="D490" s="539" t="s">
        <v>1552</v>
      </c>
      <c r="L490" s="362" t="s">
        <v>571</v>
      </c>
      <c r="M490" s="369" t="s">
        <v>572</v>
      </c>
      <c r="N490" s="364" t="s">
        <v>352</v>
      </c>
      <c r="O490" s="388"/>
      <c r="P490" s="365"/>
      <c r="Q490" s="365"/>
      <c r="R490" s="366">
        <f t="shared" si="83"/>
        <v>0</v>
      </c>
      <c r="S490" s="388"/>
      <c r="T490" s="388"/>
      <c r="U490" s="388"/>
      <c r="V490" s="388"/>
      <c r="W490" s="388"/>
      <c r="X490" s="388"/>
      <c r="Y490" s="388"/>
      <c r="Z490" s="388"/>
      <c r="AA490" s="388"/>
      <c r="AB490" s="388"/>
      <c r="AC490" s="388"/>
      <c r="AD490" s="388"/>
      <c r="AE490" s="388"/>
      <c r="AF490" s="388"/>
      <c r="AG490" s="388"/>
      <c r="AH490" s="388"/>
      <c r="AI490" s="388"/>
      <c r="AJ490" s="388"/>
      <c r="AK490" s="388"/>
      <c r="AL490" s="388"/>
      <c r="AM490" s="388"/>
      <c r="AN490" s="388"/>
      <c r="AO490" s="388"/>
      <c r="AP490" s="388"/>
      <c r="AQ490" s="388"/>
      <c r="AR490" s="388"/>
      <c r="AS490" s="388"/>
      <c r="AT490" s="388"/>
      <c r="AU490" s="388"/>
      <c r="AV490" s="388"/>
      <c r="AW490" s="388"/>
      <c r="AX490" s="179"/>
      <c r="AY490" s="179"/>
      <c r="AZ490" s="179"/>
    </row>
    <row r="491" spans="1:52" s="104" customFormat="1" ht="14.4" outlineLevel="1">
      <c r="A491" s="477" t="str">
        <f t="shared" si="86"/>
        <v>1</v>
      </c>
      <c r="B491" s="503" t="s">
        <v>1553</v>
      </c>
      <c r="C491" s="539"/>
      <c r="D491" s="539" t="s">
        <v>1554</v>
      </c>
      <c r="L491" s="362" t="s">
        <v>573</v>
      </c>
      <c r="M491" s="369" t="s">
        <v>574</v>
      </c>
      <c r="N491" s="364" t="s">
        <v>352</v>
      </c>
      <c r="O491" s="388"/>
      <c r="P491" s="365"/>
      <c r="Q491" s="365"/>
      <c r="R491" s="366">
        <f t="shared" si="83"/>
        <v>0</v>
      </c>
      <c r="S491" s="388"/>
      <c r="T491" s="388"/>
      <c r="U491" s="388"/>
      <c r="V491" s="388"/>
      <c r="W491" s="388"/>
      <c r="X491" s="388"/>
      <c r="Y491" s="388"/>
      <c r="Z491" s="388"/>
      <c r="AA491" s="388"/>
      <c r="AB491" s="388"/>
      <c r="AC491" s="388"/>
      <c r="AD491" s="388"/>
      <c r="AE491" s="388"/>
      <c r="AF491" s="388"/>
      <c r="AG491" s="388"/>
      <c r="AH491" s="388"/>
      <c r="AI491" s="388"/>
      <c r="AJ491" s="388"/>
      <c r="AK491" s="388"/>
      <c r="AL491" s="388"/>
      <c r="AM491" s="388"/>
      <c r="AN491" s="388"/>
      <c r="AO491" s="388"/>
      <c r="AP491" s="388"/>
      <c r="AQ491" s="388"/>
      <c r="AR491" s="388"/>
      <c r="AS491" s="388"/>
      <c r="AT491" s="388"/>
      <c r="AU491" s="388"/>
      <c r="AV491" s="388"/>
      <c r="AW491" s="388"/>
      <c r="AX491" s="179"/>
      <c r="AY491" s="179"/>
      <c r="AZ491" s="179"/>
    </row>
    <row r="492" spans="1:52" s="104" customFormat="1" ht="14.4" outlineLevel="1">
      <c r="A492" s="477" t="str">
        <f t="shared" si="86"/>
        <v>1</v>
      </c>
      <c r="B492" s="503" t="s">
        <v>1555</v>
      </c>
      <c r="C492" s="539"/>
      <c r="D492" s="539" t="s">
        <v>1556</v>
      </c>
      <c r="L492" s="362" t="s">
        <v>575</v>
      </c>
      <c r="M492" s="369" t="s">
        <v>576</v>
      </c>
      <c r="N492" s="364" t="s">
        <v>352</v>
      </c>
      <c r="O492" s="388"/>
      <c r="P492" s="365"/>
      <c r="Q492" s="365"/>
      <c r="R492" s="366">
        <f t="shared" si="83"/>
        <v>0</v>
      </c>
      <c r="S492" s="388"/>
      <c r="T492" s="388"/>
      <c r="U492" s="388"/>
      <c r="V492" s="388"/>
      <c r="W492" s="388"/>
      <c r="X492" s="388"/>
      <c r="Y492" s="388"/>
      <c r="Z492" s="388"/>
      <c r="AA492" s="388"/>
      <c r="AB492" s="388"/>
      <c r="AC492" s="388"/>
      <c r="AD492" s="388"/>
      <c r="AE492" s="388"/>
      <c r="AF492" s="388"/>
      <c r="AG492" s="388"/>
      <c r="AH492" s="388"/>
      <c r="AI492" s="388"/>
      <c r="AJ492" s="388"/>
      <c r="AK492" s="388"/>
      <c r="AL492" s="388"/>
      <c r="AM492" s="388"/>
      <c r="AN492" s="388"/>
      <c r="AO492" s="388"/>
      <c r="AP492" s="388"/>
      <c r="AQ492" s="388"/>
      <c r="AR492" s="388"/>
      <c r="AS492" s="388"/>
      <c r="AT492" s="388"/>
      <c r="AU492" s="388"/>
      <c r="AV492" s="388"/>
      <c r="AW492" s="388"/>
      <c r="AX492" s="179"/>
      <c r="AY492" s="179"/>
      <c r="AZ492" s="179"/>
    </row>
    <row r="493" spans="1:52" s="104" customFormat="1" ht="14.4" outlineLevel="1">
      <c r="A493" s="477" t="str">
        <f t="shared" si="86"/>
        <v>1</v>
      </c>
      <c r="B493" s="503" t="s">
        <v>1557</v>
      </c>
      <c r="C493" s="539"/>
      <c r="D493" s="539" t="s">
        <v>1558</v>
      </c>
      <c r="L493" s="362" t="s">
        <v>577</v>
      </c>
      <c r="M493" s="369" t="s">
        <v>578</v>
      </c>
      <c r="N493" s="364" t="s">
        <v>352</v>
      </c>
      <c r="O493" s="388"/>
      <c r="P493" s="377">
        <f>SUM(P494:P496)</f>
        <v>0</v>
      </c>
      <c r="Q493" s="377">
        <f>SUM(Q494:Q496)</f>
        <v>0</v>
      </c>
      <c r="R493" s="366">
        <f t="shared" si="83"/>
        <v>0</v>
      </c>
      <c r="S493" s="388"/>
      <c r="T493" s="388"/>
      <c r="U493" s="388"/>
      <c r="V493" s="388"/>
      <c r="W493" s="388"/>
      <c r="X493" s="388"/>
      <c r="Y493" s="388"/>
      <c r="Z493" s="388"/>
      <c r="AA493" s="388"/>
      <c r="AB493" s="388"/>
      <c r="AC493" s="388"/>
      <c r="AD493" s="388"/>
      <c r="AE493" s="388"/>
      <c r="AF493" s="388"/>
      <c r="AG493" s="388"/>
      <c r="AH493" s="388"/>
      <c r="AI493" s="388"/>
      <c r="AJ493" s="388"/>
      <c r="AK493" s="388"/>
      <c r="AL493" s="388"/>
      <c r="AM493" s="388"/>
      <c r="AN493" s="388"/>
      <c r="AO493" s="388"/>
      <c r="AP493" s="388"/>
      <c r="AQ493" s="388"/>
      <c r="AR493" s="388"/>
      <c r="AS493" s="388"/>
      <c r="AT493" s="388"/>
      <c r="AU493" s="388"/>
      <c r="AV493" s="388"/>
      <c r="AW493" s="388"/>
      <c r="AX493" s="179"/>
      <c r="AY493" s="179"/>
      <c r="AZ493" s="179"/>
    </row>
    <row r="494" spans="1:52" s="104" customFormat="1" ht="14.4" outlineLevel="1">
      <c r="A494" s="477" t="str">
        <f t="shared" si="86"/>
        <v>1</v>
      </c>
      <c r="B494" s="503" t="s">
        <v>1559</v>
      </c>
      <c r="C494" s="539"/>
      <c r="D494" s="539" t="s">
        <v>1560</v>
      </c>
      <c r="L494" s="362" t="s">
        <v>1308</v>
      </c>
      <c r="M494" s="372" t="s">
        <v>579</v>
      </c>
      <c r="N494" s="364" t="s">
        <v>352</v>
      </c>
      <c r="O494" s="388"/>
      <c r="P494" s="365"/>
      <c r="Q494" s="365"/>
      <c r="R494" s="366">
        <f t="shared" si="83"/>
        <v>0</v>
      </c>
      <c r="S494" s="388"/>
      <c r="T494" s="388"/>
      <c r="U494" s="388"/>
      <c r="V494" s="388"/>
      <c r="W494" s="388"/>
      <c r="X494" s="388"/>
      <c r="Y494" s="388"/>
      <c r="Z494" s="388"/>
      <c r="AA494" s="388"/>
      <c r="AB494" s="388"/>
      <c r="AC494" s="388"/>
      <c r="AD494" s="388"/>
      <c r="AE494" s="388"/>
      <c r="AF494" s="388"/>
      <c r="AG494" s="388"/>
      <c r="AH494" s="388"/>
      <c r="AI494" s="388"/>
      <c r="AJ494" s="388"/>
      <c r="AK494" s="388"/>
      <c r="AL494" s="388"/>
      <c r="AM494" s="388"/>
      <c r="AN494" s="388"/>
      <c r="AO494" s="388"/>
      <c r="AP494" s="388"/>
      <c r="AQ494" s="388"/>
      <c r="AR494" s="388"/>
      <c r="AS494" s="388"/>
      <c r="AT494" s="388"/>
      <c r="AU494" s="388"/>
      <c r="AV494" s="388"/>
      <c r="AW494" s="388"/>
      <c r="AX494" s="179"/>
      <c r="AY494" s="179"/>
      <c r="AZ494" s="179"/>
    </row>
    <row r="495" spans="1:52" s="104" customFormat="1" ht="14.4" outlineLevel="1">
      <c r="A495" s="477" t="str">
        <f t="shared" si="86"/>
        <v>1</v>
      </c>
      <c r="B495" s="503" t="s">
        <v>1561</v>
      </c>
      <c r="C495" s="539"/>
      <c r="D495" s="539" t="s">
        <v>1562</v>
      </c>
      <c r="L495" s="362" t="s">
        <v>1309</v>
      </c>
      <c r="M495" s="372" t="s">
        <v>580</v>
      </c>
      <c r="N495" s="364" t="s">
        <v>352</v>
      </c>
      <c r="O495" s="388"/>
      <c r="P495" s="365"/>
      <c r="Q495" s="365"/>
      <c r="R495" s="366">
        <f t="shared" si="83"/>
        <v>0</v>
      </c>
      <c r="S495" s="388"/>
      <c r="T495" s="388"/>
      <c r="U495" s="388"/>
      <c r="V495" s="388"/>
      <c r="W495" s="388"/>
      <c r="X495" s="388"/>
      <c r="Y495" s="388"/>
      <c r="Z495" s="388"/>
      <c r="AA495" s="388"/>
      <c r="AB495" s="388"/>
      <c r="AC495" s="388"/>
      <c r="AD495" s="388"/>
      <c r="AE495" s="388"/>
      <c r="AF495" s="388"/>
      <c r="AG495" s="388"/>
      <c r="AH495" s="388"/>
      <c r="AI495" s="388"/>
      <c r="AJ495" s="388"/>
      <c r="AK495" s="388"/>
      <c r="AL495" s="388"/>
      <c r="AM495" s="388"/>
      <c r="AN495" s="388"/>
      <c r="AO495" s="388"/>
      <c r="AP495" s="388"/>
      <c r="AQ495" s="388"/>
      <c r="AR495" s="388"/>
      <c r="AS495" s="388"/>
      <c r="AT495" s="388"/>
      <c r="AU495" s="388"/>
      <c r="AV495" s="388"/>
      <c r="AW495" s="388"/>
      <c r="AX495" s="179"/>
      <c r="AY495" s="179"/>
      <c r="AZ495" s="179"/>
    </row>
    <row r="496" spans="1:52" s="104" customFormat="1" outlineLevel="1">
      <c r="A496" s="477" t="str">
        <f t="shared" si="86"/>
        <v>1</v>
      </c>
      <c r="B496" s="104" t="s">
        <v>1563</v>
      </c>
      <c r="C496" s="539"/>
      <c r="D496" s="539" t="s">
        <v>1564</v>
      </c>
      <c r="L496" s="362" t="s">
        <v>1399</v>
      </c>
      <c r="M496" s="371" t="s">
        <v>1400</v>
      </c>
      <c r="N496" s="364" t="s">
        <v>352</v>
      </c>
      <c r="O496" s="388"/>
      <c r="P496" s="365"/>
      <c r="Q496" s="365"/>
      <c r="R496" s="366">
        <f>Q496-P496</f>
        <v>0</v>
      </c>
      <c r="S496" s="388"/>
      <c r="T496" s="388"/>
      <c r="U496" s="388"/>
      <c r="V496" s="388"/>
      <c r="W496" s="388"/>
      <c r="X496" s="388"/>
      <c r="Y496" s="388"/>
      <c r="Z496" s="388"/>
      <c r="AA496" s="388"/>
      <c r="AB496" s="388"/>
      <c r="AC496" s="388"/>
      <c r="AD496" s="388"/>
      <c r="AE496" s="388"/>
      <c r="AF496" s="388"/>
      <c r="AG496" s="388"/>
      <c r="AH496" s="388"/>
      <c r="AI496" s="388"/>
      <c r="AJ496" s="388"/>
      <c r="AK496" s="388"/>
      <c r="AL496" s="388"/>
      <c r="AM496" s="388"/>
      <c r="AN496" s="388"/>
      <c r="AO496" s="388"/>
      <c r="AP496" s="388"/>
      <c r="AQ496" s="388"/>
      <c r="AR496" s="388"/>
      <c r="AS496" s="388"/>
      <c r="AT496" s="388"/>
      <c r="AU496" s="388"/>
      <c r="AV496" s="388"/>
      <c r="AW496" s="388"/>
      <c r="AX496" s="179"/>
      <c r="AY496" s="179"/>
      <c r="AZ496" s="179"/>
    </row>
    <row r="497" spans="1:53" s="104" customFormat="1" ht="22.8" outlineLevel="1">
      <c r="A497" s="477" t="str">
        <f t="shared" si="86"/>
        <v>1</v>
      </c>
      <c r="C497" s="539"/>
      <c r="D497" s="539" t="s">
        <v>1565</v>
      </c>
      <c r="L497" s="362" t="s">
        <v>364</v>
      </c>
      <c r="M497" s="363" t="s">
        <v>581</v>
      </c>
      <c r="N497" s="364" t="s">
        <v>352</v>
      </c>
      <c r="O497" s="388"/>
      <c r="P497" s="365"/>
      <c r="Q497" s="365"/>
      <c r="R497" s="366">
        <f t="shared" si="83"/>
        <v>0</v>
      </c>
      <c r="S497" s="388"/>
      <c r="T497" s="388"/>
      <c r="U497" s="388"/>
      <c r="V497" s="388"/>
      <c r="W497" s="388"/>
      <c r="X497" s="388"/>
      <c r="Y497" s="388"/>
      <c r="Z497" s="388"/>
      <c r="AA497" s="388"/>
      <c r="AB497" s="388"/>
      <c r="AC497" s="388"/>
      <c r="AD497" s="388"/>
      <c r="AE497" s="388"/>
      <c r="AF497" s="388"/>
      <c r="AG497" s="388"/>
      <c r="AH497" s="388"/>
      <c r="AI497" s="388"/>
      <c r="AJ497" s="388"/>
      <c r="AK497" s="388"/>
      <c r="AL497" s="388"/>
      <c r="AM497" s="388"/>
      <c r="AN497" s="388"/>
      <c r="AO497" s="388"/>
      <c r="AP497" s="388"/>
      <c r="AQ497" s="388"/>
      <c r="AR497" s="388"/>
      <c r="AS497" s="388"/>
      <c r="AT497" s="388"/>
      <c r="AU497" s="388"/>
      <c r="AV497" s="388"/>
      <c r="AW497" s="388"/>
      <c r="AX497" s="179"/>
      <c r="AY497" s="179"/>
      <c r="AZ497" s="179"/>
    </row>
    <row r="498" spans="1:53" s="104" customFormat="1" outlineLevel="1">
      <c r="A498" s="477" t="str">
        <f t="shared" si="86"/>
        <v>1</v>
      </c>
      <c r="C498" s="539"/>
      <c r="D498" s="539" t="s">
        <v>1566</v>
      </c>
      <c r="L498" s="362" t="s">
        <v>1207</v>
      </c>
      <c r="M498" s="363" t="s">
        <v>1208</v>
      </c>
      <c r="N498" s="364" t="s">
        <v>352</v>
      </c>
      <c r="O498" s="388"/>
      <c r="P498" s="365"/>
      <c r="Q498" s="365"/>
      <c r="R498" s="366">
        <f>Q498-P498</f>
        <v>0</v>
      </c>
      <c r="S498" s="388"/>
      <c r="T498" s="388"/>
      <c r="U498" s="388"/>
      <c r="V498" s="388"/>
      <c r="W498" s="388"/>
      <c r="X498" s="388"/>
      <c r="Y498" s="388"/>
      <c r="Z498" s="388"/>
      <c r="AA498" s="388"/>
      <c r="AB498" s="388"/>
      <c r="AC498" s="388"/>
      <c r="AD498" s="388"/>
      <c r="AE498" s="388"/>
      <c r="AF498" s="388"/>
      <c r="AG498" s="388"/>
      <c r="AH498" s="388"/>
      <c r="AI498" s="388"/>
      <c r="AJ498" s="388"/>
      <c r="AK498" s="388"/>
      <c r="AL498" s="388"/>
      <c r="AM498" s="388"/>
      <c r="AN498" s="388"/>
      <c r="AO498" s="388"/>
      <c r="AP498" s="388"/>
      <c r="AQ498" s="388"/>
      <c r="AR498" s="388"/>
      <c r="AS498" s="388"/>
      <c r="AT498" s="388"/>
      <c r="AU498" s="388"/>
      <c r="AV498" s="388"/>
      <c r="AW498" s="388"/>
      <c r="AX498" s="179"/>
      <c r="AY498" s="179"/>
      <c r="AZ498" s="179"/>
    </row>
    <row r="499" spans="1:53" s="109" customFormat="1" ht="22.8" outlineLevel="1">
      <c r="A499" s="477" t="str">
        <f t="shared" si="86"/>
        <v>1</v>
      </c>
      <c r="C499" s="539"/>
      <c r="D499" s="539" t="s">
        <v>1567</v>
      </c>
      <c r="L499" s="381" t="s">
        <v>1324</v>
      </c>
      <c r="M499" s="465" t="s">
        <v>1325</v>
      </c>
      <c r="N499" s="382" t="s">
        <v>352</v>
      </c>
      <c r="O499" s="466"/>
      <c r="P499" s="361">
        <f>SUM(P500:P501)</f>
        <v>0</v>
      </c>
      <c r="Q499" s="361">
        <f>SUM(Q500:Q501)</f>
        <v>0</v>
      </c>
      <c r="R499" s="360">
        <f>Q499-P499</f>
        <v>0</v>
      </c>
      <c r="S499" s="466"/>
      <c r="T499" s="388"/>
      <c r="U499" s="478"/>
      <c r="V499" s="478"/>
      <c r="W499" s="478"/>
      <c r="X499" s="478"/>
      <c r="Y499" s="478"/>
      <c r="Z499" s="478"/>
      <c r="AA499" s="478"/>
      <c r="AB499" s="478"/>
      <c r="AC499" s="478"/>
      <c r="AD499" s="388"/>
      <c r="AE499" s="388"/>
      <c r="AF499" s="478"/>
      <c r="AG499" s="478"/>
      <c r="AH499" s="478"/>
      <c r="AI499" s="478"/>
      <c r="AJ499" s="478"/>
      <c r="AK499" s="478"/>
      <c r="AL499" s="478"/>
      <c r="AM499" s="478"/>
      <c r="AN499" s="478"/>
      <c r="AO499" s="478"/>
      <c r="AP499" s="478"/>
      <c r="AQ499" s="478"/>
      <c r="AR499" s="478"/>
      <c r="AS499" s="478"/>
      <c r="AT499" s="478"/>
      <c r="AU499" s="478"/>
      <c r="AV499" s="478"/>
      <c r="AW499" s="478"/>
      <c r="AX499" s="467"/>
      <c r="AY499" s="467"/>
      <c r="AZ499" s="467"/>
    </row>
    <row r="500" spans="1:53" s="104" customFormat="1" hidden="1" outlineLevel="1">
      <c r="A500" s="477" t="str">
        <f t="shared" si="86"/>
        <v>1</v>
      </c>
      <c r="L500" s="362" t="s">
        <v>1326</v>
      </c>
      <c r="M500" s="363"/>
      <c r="N500" s="364"/>
      <c r="O500" s="388"/>
      <c r="P500" s="479"/>
      <c r="Q500" s="479"/>
      <c r="R500" s="479"/>
      <c r="S500" s="388"/>
      <c r="T500" s="479"/>
      <c r="U500" s="479"/>
      <c r="V500" s="479"/>
      <c r="W500" s="479"/>
      <c r="X500" s="479"/>
      <c r="Y500" s="479"/>
      <c r="Z500" s="479"/>
      <c r="AA500" s="479"/>
      <c r="AB500" s="479"/>
      <c r="AC500" s="479"/>
      <c r="AD500" s="479"/>
      <c r="AE500" s="479"/>
      <c r="AF500" s="479"/>
      <c r="AG500" s="479"/>
      <c r="AH500" s="479"/>
      <c r="AI500" s="479"/>
      <c r="AJ500" s="479"/>
      <c r="AK500" s="479"/>
      <c r="AL500" s="479"/>
      <c r="AM500" s="479"/>
      <c r="AN500" s="479"/>
      <c r="AO500" s="479"/>
      <c r="AP500" s="479"/>
      <c r="AQ500" s="479"/>
      <c r="AR500" s="479"/>
      <c r="AS500" s="479"/>
      <c r="AT500" s="479"/>
      <c r="AU500" s="479"/>
      <c r="AV500" s="479"/>
      <c r="AW500" s="479"/>
      <c r="AX500" s="480"/>
      <c r="AY500" s="480"/>
      <c r="AZ500" s="480"/>
    </row>
    <row r="501" spans="1:53" s="104" customFormat="1" ht="15" outlineLevel="1">
      <c r="A501" s="477" t="str">
        <f t="shared" si="86"/>
        <v>1</v>
      </c>
      <c r="B501" s="481"/>
      <c r="D501" s="104" t="str">
        <f>A501&amp;"pIns1"</f>
        <v>1pIns1</v>
      </c>
      <c r="L501" s="242"/>
      <c r="M501" s="482" t="s">
        <v>353</v>
      </c>
      <c r="N501" s="243"/>
      <c r="O501" s="243"/>
      <c r="P501" s="243"/>
      <c r="Q501" s="243"/>
      <c r="R501" s="243"/>
      <c r="S501" s="243"/>
      <c r="T501" s="243"/>
      <c r="U501" s="243"/>
      <c r="V501" s="243"/>
      <c r="W501" s="243"/>
      <c r="X501" s="243"/>
      <c r="Y501" s="243"/>
      <c r="Z501" s="243"/>
      <c r="AA501" s="243"/>
      <c r="AB501" s="243"/>
      <c r="AC501" s="243"/>
      <c r="AD501" s="243"/>
      <c r="AE501" s="243"/>
      <c r="AF501" s="243"/>
      <c r="AG501" s="243"/>
      <c r="AH501" s="243"/>
      <c r="AI501" s="243"/>
      <c r="AJ501" s="243"/>
      <c r="AK501" s="243"/>
      <c r="AL501" s="243"/>
      <c r="AM501" s="243"/>
      <c r="AN501" s="243"/>
      <c r="AO501" s="243"/>
      <c r="AP501" s="243"/>
      <c r="AQ501" s="243"/>
      <c r="AR501" s="243"/>
      <c r="AS501" s="243"/>
      <c r="AT501" s="243"/>
      <c r="AU501" s="243"/>
      <c r="AV501" s="243"/>
      <c r="AW501" s="243"/>
      <c r="AX501" s="243"/>
      <c r="AY501" s="243"/>
      <c r="AZ501" s="244"/>
    </row>
    <row r="502" spans="1:53" s="109" customFormat="1" outlineLevel="1">
      <c r="A502" s="477" t="str">
        <f t="shared" si="86"/>
        <v>1</v>
      </c>
      <c r="C502" s="104"/>
      <c r="D502" s="104" t="s">
        <v>1438</v>
      </c>
      <c r="L502" s="357" t="s">
        <v>102</v>
      </c>
      <c r="M502" s="358" t="s">
        <v>582</v>
      </c>
      <c r="N502" s="359" t="s">
        <v>352</v>
      </c>
      <c r="O502" s="361">
        <f>O503+O514+O515++O525+O526+O527+O529+O530+O531+O532+O535</f>
        <v>36.340000000000003</v>
      </c>
      <c r="P502" s="361">
        <f>P503+P514+P515++P525+P526+P527+P529+P530+P531+P532+P535</f>
        <v>19.52</v>
      </c>
      <c r="Q502" s="361">
        <f>Q503+Q514+Q515++Q525+Q526+Q527+Q529+Q530+Q531+Q532+Q535</f>
        <v>0</v>
      </c>
      <c r="R502" s="360">
        <f t="shared" ref="R502:R512" si="87">Q502-P502</f>
        <v>-19.52</v>
      </c>
      <c r="S502" s="361">
        <f>S503+S514+S515++S525+S526+S527+S529+S530+S531+S532+S535</f>
        <v>34.9</v>
      </c>
      <c r="T502" s="361">
        <f t="shared" ref="T502:AM502" si="88">T503+T514+T515++T525+T526+T527+T529+T530+T531+T532+T535</f>
        <v>19.52</v>
      </c>
      <c r="U502" s="361">
        <f t="shared" si="88"/>
        <v>0</v>
      </c>
      <c r="V502" s="361">
        <f t="shared" si="88"/>
        <v>0</v>
      </c>
      <c r="W502" s="361">
        <f t="shared" si="88"/>
        <v>0</v>
      </c>
      <c r="X502" s="361">
        <f t="shared" si="88"/>
        <v>0</v>
      </c>
      <c r="Y502" s="361">
        <f t="shared" si="88"/>
        <v>0</v>
      </c>
      <c r="Z502" s="361">
        <f t="shared" si="88"/>
        <v>0</v>
      </c>
      <c r="AA502" s="361">
        <f t="shared" si="88"/>
        <v>0</v>
      </c>
      <c r="AB502" s="361">
        <f t="shared" si="88"/>
        <v>0</v>
      </c>
      <c r="AC502" s="361">
        <f t="shared" si="88"/>
        <v>0</v>
      </c>
      <c r="AD502" s="361">
        <f t="shared" si="88"/>
        <v>0</v>
      </c>
      <c r="AE502" s="361">
        <f t="shared" si="88"/>
        <v>0</v>
      </c>
      <c r="AF502" s="361">
        <f t="shared" si="88"/>
        <v>0</v>
      </c>
      <c r="AG502" s="361">
        <f t="shared" si="88"/>
        <v>0</v>
      </c>
      <c r="AH502" s="361">
        <f t="shared" si="88"/>
        <v>0</v>
      </c>
      <c r="AI502" s="361">
        <f t="shared" si="88"/>
        <v>0</v>
      </c>
      <c r="AJ502" s="361">
        <f t="shared" si="88"/>
        <v>0</v>
      </c>
      <c r="AK502" s="361">
        <f t="shared" si="88"/>
        <v>0</v>
      </c>
      <c r="AL502" s="361">
        <f t="shared" si="88"/>
        <v>0</v>
      </c>
      <c r="AM502" s="361">
        <f t="shared" si="88"/>
        <v>0</v>
      </c>
      <c r="AN502" s="360">
        <f>IF(S502=0,0,(AD502-S502)/S502*100)</f>
        <v>-100</v>
      </c>
      <c r="AO502" s="360">
        <f t="shared" ref="AO502:AW503" si="89">IF(AD502=0,0,(AE502-AD502)/AD502*100)</f>
        <v>0</v>
      </c>
      <c r="AP502" s="360">
        <f t="shared" si="89"/>
        <v>0</v>
      </c>
      <c r="AQ502" s="360">
        <f t="shared" si="89"/>
        <v>0</v>
      </c>
      <c r="AR502" s="360">
        <f t="shared" si="89"/>
        <v>0</v>
      </c>
      <c r="AS502" s="360">
        <f t="shared" si="89"/>
        <v>0</v>
      </c>
      <c r="AT502" s="360">
        <f t="shared" si="89"/>
        <v>0</v>
      </c>
      <c r="AU502" s="360">
        <f t="shared" si="89"/>
        <v>0</v>
      </c>
      <c r="AV502" s="360">
        <f t="shared" si="89"/>
        <v>0</v>
      </c>
      <c r="AW502" s="360">
        <f t="shared" si="89"/>
        <v>0</v>
      </c>
      <c r="AX502" s="179"/>
      <c r="AY502" s="179"/>
      <c r="AZ502" s="179"/>
      <c r="BA502" s="106"/>
    </row>
    <row r="503" spans="1:53" s="109" customFormat="1" ht="22.8" outlineLevel="1">
      <c r="A503" s="477" t="str">
        <f t="shared" si="86"/>
        <v>1</v>
      </c>
      <c r="C503" s="104"/>
      <c r="D503" s="104" t="s">
        <v>1439</v>
      </c>
      <c r="L503" s="381" t="s">
        <v>17</v>
      </c>
      <c r="M503" s="465" t="s">
        <v>583</v>
      </c>
      <c r="N503" s="382" t="s">
        <v>352</v>
      </c>
      <c r="O503" s="361">
        <f>SUM(O504:O513)</f>
        <v>0</v>
      </c>
      <c r="P503" s="361">
        <f>SUM(P504:P513)</f>
        <v>0</v>
      </c>
      <c r="Q503" s="361">
        <f>SUM(Q504:Q513)</f>
        <v>0</v>
      </c>
      <c r="R503" s="360">
        <f t="shared" si="87"/>
        <v>0</v>
      </c>
      <c r="S503" s="361">
        <f>SUM(S504:S513)</f>
        <v>0</v>
      </c>
      <c r="T503" s="361">
        <f t="shared" ref="T503:AM503" si="90">SUM(T504:T513)</f>
        <v>0</v>
      </c>
      <c r="U503" s="361">
        <f t="shared" si="90"/>
        <v>0</v>
      </c>
      <c r="V503" s="361">
        <f t="shared" si="90"/>
        <v>0</v>
      </c>
      <c r="W503" s="361">
        <f t="shared" si="90"/>
        <v>0</v>
      </c>
      <c r="X503" s="361">
        <f t="shared" si="90"/>
        <v>0</v>
      </c>
      <c r="Y503" s="361">
        <f t="shared" si="90"/>
        <v>0</v>
      </c>
      <c r="Z503" s="361">
        <f t="shared" si="90"/>
        <v>0</v>
      </c>
      <c r="AA503" s="361">
        <f t="shared" si="90"/>
        <v>0</v>
      </c>
      <c r="AB503" s="361">
        <f t="shared" si="90"/>
        <v>0</v>
      </c>
      <c r="AC503" s="361">
        <f t="shared" si="90"/>
        <v>0</v>
      </c>
      <c r="AD503" s="361">
        <f t="shared" si="90"/>
        <v>0</v>
      </c>
      <c r="AE503" s="361">
        <f t="shared" si="90"/>
        <v>0</v>
      </c>
      <c r="AF503" s="361">
        <f t="shared" si="90"/>
        <v>0</v>
      </c>
      <c r="AG503" s="361">
        <f t="shared" si="90"/>
        <v>0</v>
      </c>
      <c r="AH503" s="361">
        <f t="shared" si="90"/>
        <v>0</v>
      </c>
      <c r="AI503" s="361">
        <f t="shared" si="90"/>
        <v>0</v>
      </c>
      <c r="AJ503" s="361">
        <f t="shared" si="90"/>
        <v>0</v>
      </c>
      <c r="AK503" s="361">
        <f t="shared" si="90"/>
        <v>0</v>
      </c>
      <c r="AL503" s="361">
        <f t="shared" si="90"/>
        <v>0</v>
      </c>
      <c r="AM503" s="361">
        <f t="shared" si="90"/>
        <v>0</v>
      </c>
      <c r="AN503" s="360">
        <f>IF(S503=0,0,(AD503-S503)/S503*100)</f>
        <v>0</v>
      </c>
      <c r="AO503" s="360">
        <f t="shared" si="89"/>
        <v>0</v>
      </c>
      <c r="AP503" s="360">
        <f t="shared" si="89"/>
        <v>0</v>
      </c>
      <c r="AQ503" s="360">
        <f t="shared" si="89"/>
        <v>0</v>
      </c>
      <c r="AR503" s="360">
        <f t="shared" si="89"/>
        <v>0</v>
      </c>
      <c r="AS503" s="360">
        <f t="shared" si="89"/>
        <v>0</v>
      </c>
      <c r="AT503" s="360">
        <f t="shared" si="89"/>
        <v>0</v>
      </c>
      <c r="AU503" s="360">
        <f t="shared" si="89"/>
        <v>0</v>
      </c>
      <c r="AV503" s="360">
        <f t="shared" si="89"/>
        <v>0</v>
      </c>
      <c r="AW503" s="360">
        <f t="shared" si="89"/>
        <v>0</v>
      </c>
      <c r="AX503" s="467"/>
      <c r="AY503" s="467"/>
      <c r="AZ503" s="467"/>
    </row>
    <row r="504" spans="1:53" s="104" customFormat="1" outlineLevel="1">
      <c r="A504" s="477" t="str">
        <f t="shared" si="86"/>
        <v>1</v>
      </c>
      <c r="B504" s="104" t="s">
        <v>408</v>
      </c>
      <c r="D504" s="104" t="s">
        <v>1440</v>
      </c>
      <c r="L504" s="362" t="s">
        <v>136</v>
      </c>
      <c r="M504" s="369" t="s">
        <v>584</v>
      </c>
      <c r="N504" s="364" t="s">
        <v>352</v>
      </c>
      <c r="O504" s="377">
        <f>SUMIFS(Покупка!O$15:O$44,Покупка!$A$15:$A$44,$A504,Покупка!$M$15:$M$44,$B504)</f>
        <v>0</v>
      </c>
      <c r="P504" s="377">
        <f>SUMIFS(Покупка!P$15:P$44,Покупка!$A$15:$A$44,$A504,Покупка!$M$15:$M$44,$B504)</f>
        <v>0</v>
      </c>
      <c r="Q504" s="377">
        <f>SUMIFS(Покупка!Q$15:Q$44,Покупка!$A$15:$A$44,$A504,Покупка!$M$15:$M$44,$B504)</f>
        <v>0</v>
      </c>
      <c r="R504" s="366">
        <f t="shared" si="87"/>
        <v>0</v>
      </c>
      <c r="S504" s="377">
        <f>SUMIFS(Покупка!R$15:R$44,Покупка!$A$15:$A$44,$A504,Покупка!$M$15:$M$44,$B504)</f>
        <v>0</v>
      </c>
      <c r="T504" s="377">
        <f>SUMIFS(Покупка!S$15:S$44,Покупка!$A$15:$A$44,$A504,Покупка!$M$15:$M$44,$B504)</f>
        <v>0</v>
      </c>
      <c r="U504" s="377">
        <f>SUMIFS(Покупка!T$15:T$44,Покупка!$A$15:$A$44,$A504,Покупка!$M$15:$M$44,$B504)</f>
        <v>0</v>
      </c>
      <c r="V504" s="377">
        <f>SUMIFS(Покупка!U$15:U$44,Покупка!$A$15:$A$44,$A504,Покупка!$M$15:$M$44,$B504)</f>
        <v>0</v>
      </c>
      <c r="W504" s="377">
        <f>SUMIFS(Покупка!V$15:V$44,Покупка!$A$15:$A$44,$A504,Покупка!$M$15:$M$44,$B504)</f>
        <v>0</v>
      </c>
      <c r="X504" s="377">
        <f>SUMIFS(Покупка!W$15:W$44,Покупка!$A$15:$A$44,$A504,Покупка!$M$15:$M$44,$B504)</f>
        <v>0</v>
      </c>
      <c r="Y504" s="377">
        <f>SUMIFS(Покупка!X$15:X$44,Покупка!$A$15:$A$44,$A504,Покупка!$M$15:$M$44,$B504)</f>
        <v>0</v>
      </c>
      <c r="Z504" s="377">
        <f>SUMIFS(Покупка!Y$15:Y$44,Покупка!$A$15:$A$44,$A504,Покупка!$M$15:$M$44,$B504)</f>
        <v>0</v>
      </c>
      <c r="AA504" s="377">
        <f>SUMIFS(Покупка!Z$15:Z$44,Покупка!$A$15:$A$44,$A504,Покупка!$M$15:$M$44,$B504)</f>
        <v>0</v>
      </c>
      <c r="AB504" s="377">
        <f>SUMIFS(Покупка!AA$15:AA$44,Покупка!$A$15:$A$44,$A504,Покупка!$M$15:$M$44,$B504)</f>
        <v>0</v>
      </c>
      <c r="AC504" s="377">
        <f>SUMIFS(Покупка!AB$15:AB$44,Покупка!$A$15:$A$44,$A504,Покупка!$M$15:$M$44,$B504)</f>
        <v>0</v>
      </c>
      <c r="AD504" s="377">
        <f>SUMIFS(Покупка!AC$15:AC$44,Покупка!$A$15:$A$44,$A504,Покупка!$M$15:$M$44,$B504)</f>
        <v>0</v>
      </c>
      <c r="AE504" s="377">
        <f>SUMIFS(Покупка!AD$15:AD$44,Покупка!$A$15:$A$44,$A504,Покупка!$M$15:$M$44,$B504)</f>
        <v>0</v>
      </c>
      <c r="AF504" s="377">
        <f>SUMIFS(Покупка!AE$15:AE$44,Покупка!$A$15:$A$44,$A504,Покупка!$M$15:$M$44,$B504)</f>
        <v>0</v>
      </c>
      <c r="AG504" s="377">
        <f>SUMIFS(Покупка!AF$15:AF$44,Покупка!$A$15:$A$44,$A504,Покупка!$M$15:$M$44,$B504)</f>
        <v>0</v>
      </c>
      <c r="AH504" s="377">
        <f>SUMIFS(Покупка!AG$15:AG$44,Покупка!$A$15:$A$44,$A504,Покупка!$M$15:$M$44,$B504)</f>
        <v>0</v>
      </c>
      <c r="AI504" s="377">
        <f>SUMIFS(Покупка!AH$15:AH$44,Покупка!$A$15:$A$44,$A504,Покупка!$M$15:$M$44,$B504)</f>
        <v>0</v>
      </c>
      <c r="AJ504" s="377">
        <f>SUMIFS(Покупка!AI$15:AI$44,Покупка!$A$15:$A$44,$A504,Покупка!$M$15:$M$44,$B504)</f>
        <v>0</v>
      </c>
      <c r="AK504" s="377">
        <f>SUMIFS(Покупка!AJ$15:AJ$44,Покупка!$A$15:$A$44,$A504,Покупка!$M$15:$M$44,$B504)</f>
        <v>0</v>
      </c>
      <c r="AL504" s="377">
        <f>SUMIFS(Покупка!AK$15:AK$44,Покупка!$A$15:$A$44,$A504,Покупка!$M$15:$M$44,$B504)</f>
        <v>0</v>
      </c>
      <c r="AM504" s="377">
        <f>SUMIFS(Покупка!AL$15:AL$44,Покупка!$A$15:$A$44,$A504,Покупка!$M$15:$M$44,$B504)</f>
        <v>0</v>
      </c>
      <c r="AN504" s="366">
        <f t="shared" ref="AN504:AN545" si="91">IF(S504=0,0,(AD504-S504)/S504*100)</f>
        <v>0</v>
      </c>
      <c r="AO504" s="366">
        <f t="shared" ref="AO504:AO512" si="92">IF(AD504=0,0,(AE504-AD504)/AD504*100)</f>
        <v>0</v>
      </c>
      <c r="AP504" s="366">
        <f t="shared" ref="AP504:AP544" si="93">IF(AE504=0,0,(AF504-AE504)/AE504*100)</f>
        <v>0</v>
      </c>
      <c r="AQ504" s="366">
        <f t="shared" ref="AQ504:AQ544" si="94">IF(AF504=0,0,(AG504-AF504)/AF504*100)</f>
        <v>0</v>
      </c>
      <c r="AR504" s="366">
        <f t="shared" ref="AR504:AR544" si="95">IF(AG504=0,0,(AH504-AG504)/AG504*100)</f>
        <v>0</v>
      </c>
      <c r="AS504" s="366">
        <f t="shared" ref="AS504:AS544" si="96">IF(AH504=0,0,(AI504-AH504)/AH504*100)</f>
        <v>0</v>
      </c>
      <c r="AT504" s="366">
        <f t="shared" ref="AT504:AT544" si="97">IF(AI504=0,0,(AJ504-AI504)/AI504*100)</f>
        <v>0</v>
      </c>
      <c r="AU504" s="366">
        <f t="shared" ref="AU504:AU544" si="98">IF(AJ504=0,0,(AK504-AJ504)/AJ504*100)</f>
        <v>0</v>
      </c>
      <c r="AV504" s="366">
        <f t="shared" ref="AV504:AV544" si="99">IF(AK504=0,0,(AL504-AK504)/AK504*100)</f>
        <v>0</v>
      </c>
      <c r="AW504" s="366">
        <f t="shared" ref="AW504:AW544" si="100">IF(AL504=0,0,(AM504-AL504)/AL504*100)</f>
        <v>0</v>
      </c>
      <c r="AX504" s="179"/>
      <c r="AY504" s="179"/>
      <c r="AZ504" s="179"/>
    </row>
    <row r="505" spans="1:53" s="104" customFormat="1" outlineLevel="1">
      <c r="A505" s="477" t="str">
        <f t="shared" si="86"/>
        <v>1</v>
      </c>
      <c r="B505" s="104" t="s">
        <v>409</v>
      </c>
      <c r="D505" s="104" t="s">
        <v>1441</v>
      </c>
      <c r="L505" s="362" t="s">
        <v>585</v>
      </c>
      <c r="M505" s="369" t="s">
        <v>586</v>
      </c>
      <c r="N505" s="364" t="s">
        <v>352</v>
      </c>
      <c r="O505" s="377">
        <f>SUMIFS(Покупка!O$15:O$44,Покупка!$A$15:$A$44,$A505,Покупка!$M$15:$M$44,$B505)</f>
        <v>0</v>
      </c>
      <c r="P505" s="377">
        <f>SUMIFS(Покупка!P$15:P$44,Покупка!$A$15:$A$44,$A505,Покупка!$M$15:$M$44,$B505)</f>
        <v>0</v>
      </c>
      <c r="Q505" s="377">
        <f>SUMIFS(Покупка!Q$15:Q$44,Покупка!$A$15:$A$44,$A505,Покупка!$M$15:$M$44,$B505)</f>
        <v>0</v>
      </c>
      <c r="R505" s="366">
        <f t="shared" si="87"/>
        <v>0</v>
      </c>
      <c r="S505" s="377">
        <f>SUMIFS(Покупка!R$15:R$44,Покупка!$A$15:$A$44,$A505,Покупка!$M$15:$M$44,$B505)</f>
        <v>0</v>
      </c>
      <c r="T505" s="377">
        <f>SUMIFS(Покупка!S$15:S$44,Покупка!$A$15:$A$44,$A505,Покупка!$M$15:$M$44,$B505)</f>
        <v>0</v>
      </c>
      <c r="U505" s="377">
        <f>SUMIFS(Покупка!T$15:T$44,Покупка!$A$15:$A$44,$A505,Покупка!$M$15:$M$44,$B505)</f>
        <v>0</v>
      </c>
      <c r="V505" s="377">
        <f>SUMIFS(Покупка!U$15:U$44,Покупка!$A$15:$A$44,$A505,Покупка!$M$15:$M$44,$B505)</f>
        <v>0</v>
      </c>
      <c r="W505" s="377">
        <f>SUMIFS(Покупка!V$15:V$44,Покупка!$A$15:$A$44,$A505,Покупка!$M$15:$M$44,$B505)</f>
        <v>0</v>
      </c>
      <c r="X505" s="377">
        <f>SUMIFS(Покупка!W$15:W$44,Покупка!$A$15:$A$44,$A505,Покупка!$M$15:$M$44,$B505)</f>
        <v>0</v>
      </c>
      <c r="Y505" s="377">
        <f>SUMIFS(Покупка!X$15:X$44,Покупка!$A$15:$A$44,$A505,Покупка!$M$15:$M$44,$B505)</f>
        <v>0</v>
      </c>
      <c r="Z505" s="377">
        <f>SUMIFS(Покупка!Y$15:Y$44,Покупка!$A$15:$A$44,$A505,Покупка!$M$15:$M$44,$B505)</f>
        <v>0</v>
      </c>
      <c r="AA505" s="377">
        <f>SUMIFS(Покупка!Z$15:Z$44,Покупка!$A$15:$A$44,$A505,Покупка!$M$15:$M$44,$B505)</f>
        <v>0</v>
      </c>
      <c r="AB505" s="377">
        <f>SUMIFS(Покупка!AA$15:AA$44,Покупка!$A$15:$A$44,$A505,Покупка!$M$15:$M$44,$B505)</f>
        <v>0</v>
      </c>
      <c r="AC505" s="377">
        <f>SUMIFS(Покупка!AB$15:AB$44,Покупка!$A$15:$A$44,$A505,Покупка!$M$15:$M$44,$B505)</f>
        <v>0</v>
      </c>
      <c r="AD505" s="377">
        <f>SUMIFS(Покупка!AC$15:AC$44,Покупка!$A$15:$A$44,$A505,Покупка!$M$15:$M$44,$B505)</f>
        <v>0</v>
      </c>
      <c r="AE505" s="377">
        <f>SUMIFS(Покупка!AD$15:AD$44,Покупка!$A$15:$A$44,$A505,Покупка!$M$15:$M$44,$B505)</f>
        <v>0</v>
      </c>
      <c r="AF505" s="377">
        <f>SUMIFS(Покупка!AE$15:AE$44,Покупка!$A$15:$A$44,$A505,Покупка!$M$15:$M$44,$B505)</f>
        <v>0</v>
      </c>
      <c r="AG505" s="377">
        <f>SUMIFS(Покупка!AF$15:AF$44,Покупка!$A$15:$A$44,$A505,Покупка!$M$15:$M$44,$B505)</f>
        <v>0</v>
      </c>
      <c r="AH505" s="377">
        <f>SUMIFS(Покупка!AG$15:AG$44,Покупка!$A$15:$A$44,$A505,Покупка!$M$15:$M$44,$B505)</f>
        <v>0</v>
      </c>
      <c r="AI505" s="377">
        <f>SUMIFS(Покупка!AH$15:AH$44,Покупка!$A$15:$A$44,$A505,Покупка!$M$15:$M$44,$B505)</f>
        <v>0</v>
      </c>
      <c r="AJ505" s="377">
        <f>SUMIFS(Покупка!AI$15:AI$44,Покупка!$A$15:$A$44,$A505,Покупка!$M$15:$M$44,$B505)</f>
        <v>0</v>
      </c>
      <c r="AK505" s="377">
        <f>SUMIFS(Покупка!AJ$15:AJ$44,Покупка!$A$15:$A$44,$A505,Покупка!$M$15:$M$44,$B505)</f>
        <v>0</v>
      </c>
      <c r="AL505" s="377">
        <f>SUMIFS(Покупка!AK$15:AK$44,Покупка!$A$15:$A$44,$A505,Покупка!$M$15:$M$44,$B505)</f>
        <v>0</v>
      </c>
      <c r="AM505" s="377">
        <f>SUMIFS(Покупка!AL$15:AL$44,Покупка!$A$15:$A$44,$A505,Покупка!$M$15:$M$44,$B505)</f>
        <v>0</v>
      </c>
      <c r="AN505" s="366">
        <f t="shared" si="91"/>
        <v>0</v>
      </c>
      <c r="AO505" s="366">
        <f t="shared" si="92"/>
        <v>0</v>
      </c>
      <c r="AP505" s="366">
        <f t="shared" si="93"/>
        <v>0</v>
      </c>
      <c r="AQ505" s="366">
        <f t="shared" si="94"/>
        <v>0</v>
      </c>
      <c r="AR505" s="366">
        <f t="shared" si="95"/>
        <v>0</v>
      </c>
      <c r="AS505" s="366">
        <f t="shared" si="96"/>
        <v>0</v>
      </c>
      <c r="AT505" s="366">
        <f t="shared" si="97"/>
        <v>0</v>
      </c>
      <c r="AU505" s="366">
        <f t="shared" si="98"/>
        <v>0</v>
      </c>
      <c r="AV505" s="366">
        <f t="shared" si="99"/>
        <v>0</v>
      </c>
      <c r="AW505" s="366">
        <f t="shared" si="100"/>
        <v>0</v>
      </c>
      <c r="AX505" s="179"/>
      <c r="AY505" s="179"/>
      <c r="AZ505" s="179"/>
    </row>
    <row r="506" spans="1:53" s="104" customFormat="1" outlineLevel="1">
      <c r="A506" s="477" t="str">
        <f t="shared" si="86"/>
        <v>1</v>
      </c>
      <c r="B506" s="104" t="s">
        <v>404</v>
      </c>
      <c r="D506" s="104" t="s">
        <v>1568</v>
      </c>
      <c r="L506" s="362" t="s">
        <v>587</v>
      </c>
      <c r="M506" s="369" t="s">
        <v>588</v>
      </c>
      <c r="N506" s="364" t="s">
        <v>352</v>
      </c>
      <c r="O506" s="377">
        <f>SUMIFS(Покупка!O$15:O$44,Покупка!$A$15:$A$44,$A506,Покупка!$M$15:$M$44,$B506)</f>
        <v>0</v>
      </c>
      <c r="P506" s="377">
        <f>SUMIFS(Покупка!P$15:P$44,Покупка!$A$15:$A$44,$A506,Покупка!$M$15:$M$44,$B506)</f>
        <v>0</v>
      </c>
      <c r="Q506" s="377">
        <f>SUMIFS(Покупка!Q$15:Q$44,Покупка!$A$15:$A$44,$A506,Покупка!$M$15:$M$44,$B506)</f>
        <v>0</v>
      </c>
      <c r="R506" s="366">
        <f t="shared" si="87"/>
        <v>0</v>
      </c>
      <c r="S506" s="377">
        <f>SUMIFS(Покупка!R$15:R$44,Покупка!$A$15:$A$44,$A506,Покупка!$M$15:$M$44,$B506)</f>
        <v>0</v>
      </c>
      <c r="T506" s="377">
        <f>SUMIFS(Покупка!S$15:S$44,Покупка!$A$15:$A$44,$A506,Покупка!$M$15:$M$44,$B506)</f>
        <v>0</v>
      </c>
      <c r="U506" s="377">
        <f>SUMIFS(Покупка!T$15:T$44,Покупка!$A$15:$A$44,$A506,Покупка!$M$15:$M$44,$B506)</f>
        <v>0</v>
      </c>
      <c r="V506" s="377">
        <f>SUMIFS(Покупка!U$15:U$44,Покупка!$A$15:$A$44,$A506,Покупка!$M$15:$M$44,$B506)</f>
        <v>0</v>
      </c>
      <c r="W506" s="377">
        <f>SUMIFS(Покупка!V$15:V$44,Покупка!$A$15:$A$44,$A506,Покупка!$M$15:$M$44,$B506)</f>
        <v>0</v>
      </c>
      <c r="X506" s="377">
        <f>SUMIFS(Покупка!W$15:W$44,Покупка!$A$15:$A$44,$A506,Покупка!$M$15:$M$44,$B506)</f>
        <v>0</v>
      </c>
      <c r="Y506" s="377">
        <f>SUMIFS(Покупка!X$15:X$44,Покупка!$A$15:$A$44,$A506,Покупка!$M$15:$M$44,$B506)</f>
        <v>0</v>
      </c>
      <c r="Z506" s="377">
        <f>SUMIFS(Покупка!Y$15:Y$44,Покупка!$A$15:$A$44,$A506,Покупка!$M$15:$M$44,$B506)</f>
        <v>0</v>
      </c>
      <c r="AA506" s="377">
        <f>SUMIFS(Покупка!Z$15:Z$44,Покупка!$A$15:$A$44,$A506,Покупка!$M$15:$M$44,$B506)</f>
        <v>0</v>
      </c>
      <c r="AB506" s="377">
        <f>SUMIFS(Покупка!AA$15:AA$44,Покупка!$A$15:$A$44,$A506,Покупка!$M$15:$M$44,$B506)</f>
        <v>0</v>
      </c>
      <c r="AC506" s="377">
        <f>SUMIFS(Покупка!AB$15:AB$44,Покупка!$A$15:$A$44,$A506,Покупка!$M$15:$M$44,$B506)</f>
        <v>0</v>
      </c>
      <c r="AD506" s="377">
        <f>SUMIFS(Покупка!AC$15:AC$44,Покупка!$A$15:$A$44,$A506,Покупка!$M$15:$M$44,$B506)</f>
        <v>0</v>
      </c>
      <c r="AE506" s="377">
        <f>SUMIFS(Покупка!AD$15:AD$44,Покупка!$A$15:$A$44,$A506,Покупка!$M$15:$M$44,$B506)</f>
        <v>0</v>
      </c>
      <c r="AF506" s="377">
        <f>SUMIFS(Покупка!AE$15:AE$44,Покупка!$A$15:$A$44,$A506,Покупка!$M$15:$M$44,$B506)</f>
        <v>0</v>
      </c>
      <c r="AG506" s="377">
        <f>SUMIFS(Покупка!AF$15:AF$44,Покупка!$A$15:$A$44,$A506,Покупка!$M$15:$M$44,$B506)</f>
        <v>0</v>
      </c>
      <c r="AH506" s="377">
        <f>SUMIFS(Покупка!AG$15:AG$44,Покупка!$A$15:$A$44,$A506,Покупка!$M$15:$M$44,$B506)</f>
        <v>0</v>
      </c>
      <c r="AI506" s="377">
        <f>SUMIFS(Покупка!AH$15:AH$44,Покупка!$A$15:$A$44,$A506,Покупка!$M$15:$M$44,$B506)</f>
        <v>0</v>
      </c>
      <c r="AJ506" s="377">
        <f>SUMIFS(Покупка!AI$15:AI$44,Покупка!$A$15:$A$44,$A506,Покупка!$M$15:$M$44,$B506)</f>
        <v>0</v>
      </c>
      <c r="AK506" s="377">
        <f>SUMIFS(Покупка!AJ$15:AJ$44,Покупка!$A$15:$A$44,$A506,Покупка!$M$15:$M$44,$B506)</f>
        <v>0</v>
      </c>
      <c r="AL506" s="377">
        <f>SUMIFS(Покупка!AK$15:AK$44,Покупка!$A$15:$A$44,$A506,Покупка!$M$15:$M$44,$B506)</f>
        <v>0</v>
      </c>
      <c r="AM506" s="377">
        <f>SUMIFS(Покупка!AL$15:AL$44,Покупка!$A$15:$A$44,$A506,Покупка!$M$15:$M$44,$B506)</f>
        <v>0</v>
      </c>
      <c r="AN506" s="366">
        <f t="shared" si="91"/>
        <v>0</v>
      </c>
      <c r="AO506" s="366">
        <f t="shared" si="92"/>
        <v>0</v>
      </c>
      <c r="AP506" s="366">
        <f t="shared" si="93"/>
        <v>0</v>
      </c>
      <c r="AQ506" s="366">
        <f t="shared" si="94"/>
        <v>0</v>
      </c>
      <c r="AR506" s="366">
        <f t="shared" si="95"/>
        <v>0</v>
      </c>
      <c r="AS506" s="366">
        <f t="shared" si="96"/>
        <v>0</v>
      </c>
      <c r="AT506" s="366">
        <f t="shared" si="97"/>
        <v>0</v>
      </c>
      <c r="AU506" s="366">
        <f t="shared" si="98"/>
        <v>0</v>
      </c>
      <c r="AV506" s="366">
        <f t="shared" si="99"/>
        <v>0</v>
      </c>
      <c r="AW506" s="366">
        <f t="shared" si="100"/>
        <v>0</v>
      </c>
      <c r="AX506" s="179"/>
      <c r="AY506" s="179"/>
      <c r="AZ506" s="179"/>
    </row>
    <row r="507" spans="1:53" s="104" customFormat="1" outlineLevel="1">
      <c r="A507" s="477" t="str">
        <f t="shared" si="86"/>
        <v>1</v>
      </c>
      <c r="B507" s="104" t="s">
        <v>402</v>
      </c>
      <c r="D507" s="104" t="s">
        <v>1569</v>
      </c>
      <c r="L507" s="362" t="s">
        <v>589</v>
      </c>
      <c r="M507" s="369" t="s">
        <v>590</v>
      </c>
      <c r="N507" s="364" t="s">
        <v>352</v>
      </c>
      <c r="O507" s="377">
        <f>SUMIFS(Покупка!O$15:O$44,Покупка!$A$15:$A$44,$A507,Покупка!$M$15:$M$44,$B507)</f>
        <v>0</v>
      </c>
      <c r="P507" s="377">
        <f>SUMIFS(Покупка!P$15:P$44,Покупка!$A$15:$A$44,$A507,Покупка!$M$15:$M$44,$B507)</f>
        <v>0</v>
      </c>
      <c r="Q507" s="377">
        <f>SUMIFS(Покупка!Q$15:Q$44,Покупка!$A$15:$A$44,$A507,Покупка!$M$15:$M$44,$B507)</f>
        <v>0</v>
      </c>
      <c r="R507" s="366">
        <f t="shared" si="87"/>
        <v>0</v>
      </c>
      <c r="S507" s="377">
        <f>SUMIFS(Покупка!R$15:R$44,Покупка!$A$15:$A$44,$A507,Покупка!$M$15:$M$44,$B507)</f>
        <v>0</v>
      </c>
      <c r="T507" s="377">
        <f>SUMIFS(Покупка!S$15:S$44,Покупка!$A$15:$A$44,$A507,Покупка!$M$15:$M$44,$B507)</f>
        <v>0</v>
      </c>
      <c r="U507" s="377">
        <f>SUMIFS(Покупка!T$15:T$44,Покупка!$A$15:$A$44,$A507,Покупка!$M$15:$M$44,$B507)</f>
        <v>0</v>
      </c>
      <c r="V507" s="377">
        <f>SUMIFS(Покупка!U$15:U$44,Покупка!$A$15:$A$44,$A507,Покупка!$M$15:$M$44,$B507)</f>
        <v>0</v>
      </c>
      <c r="W507" s="377">
        <f>SUMIFS(Покупка!V$15:V$44,Покупка!$A$15:$A$44,$A507,Покупка!$M$15:$M$44,$B507)</f>
        <v>0</v>
      </c>
      <c r="X507" s="377">
        <f>SUMIFS(Покупка!W$15:W$44,Покупка!$A$15:$A$44,$A507,Покупка!$M$15:$M$44,$B507)</f>
        <v>0</v>
      </c>
      <c r="Y507" s="377">
        <f>SUMIFS(Покупка!X$15:X$44,Покупка!$A$15:$A$44,$A507,Покупка!$M$15:$M$44,$B507)</f>
        <v>0</v>
      </c>
      <c r="Z507" s="377">
        <f>SUMIFS(Покупка!Y$15:Y$44,Покупка!$A$15:$A$44,$A507,Покупка!$M$15:$M$44,$B507)</f>
        <v>0</v>
      </c>
      <c r="AA507" s="377">
        <f>SUMIFS(Покупка!Z$15:Z$44,Покупка!$A$15:$A$44,$A507,Покупка!$M$15:$M$44,$B507)</f>
        <v>0</v>
      </c>
      <c r="AB507" s="377">
        <f>SUMIFS(Покупка!AA$15:AA$44,Покупка!$A$15:$A$44,$A507,Покупка!$M$15:$M$44,$B507)</f>
        <v>0</v>
      </c>
      <c r="AC507" s="377">
        <f>SUMIFS(Покупка!AB$15:AB$44,Покупка!$A$15:$A$44,$A507,Покупка!$M$15:$M$44,$B507)</f>
        <v>0</v>
      </c>
      <c r="AD507" s="377">
        <f>SUMIFS(Покупка!AC$15:AC$44,Покупка!$A$15:$A$44,$A507,Покупка!$M$15:$M$44,$B507)</f>
        <v>0</v>
      </c>
      <c r="AE507" s="377">
        <f>SUMIFS(Покупка!AD$15:AD$44,Покупка!$A$15:$A$44,$A507,Покупка!$M$15:$M$44,$B507)</f>
        <v>0</v>
      </c>
      <c r="AF507" s="377">
        <f>SUMIFS(Покупка!AE$15:AE$44,Покупка!$A$15:$A$44,$A507,Покупка!$M$15:$M$44,$B507)</f>
        <v>0</v>
      </c>
      <c r="AG507" s="377">
        <f>SUMIFS(Покупка!AF$15:AF$44,Покупка!$A$15:$A$44,$A507,Покупка!$M$15:$M$44,$B507)</f>
        <v>0</v>
      </c>
      <c r="AH507" s="377">
        <f>SUMIFS(Покупка!AG$15:AG$44,Покупка!$A$15:$A$44,$A507,Покупка!$M$15:$M$44,$B507)</f>
        <v>0</v>
      </c>
      <c r="AI507" s="377">
        <f>SUMIFS(Покупка!AH$15:AH$44,Покупка!$A$15:$A$44,$A507,Покупка!$M$15:$M$44,$B507)</f>
        <v>0</v>
      </c>
      <c r="AJ507" s="377">
        <f>SUMIFS(Покупка!AI$15:AI$44,Покупка!$A$15:$A$44,$A507,Покупка!$M$15:$M$44,$B507)</f>
        <v>0</v>
      </c>
      <c r="AK507" s="377">
        <f>SUMIFS(Покупка!AJ$15:AJ$44,Покупка!$A$15:$A$44,$A507,Покупка!$M$15:$M$44,$B507)</f>
        <v>0</v>
      </c>
      <c r="AL507" s="377">
        <f>SUMIFS(Покупка!AK$15:AK$44,Покупка!$A$15:$A$44,$A507,Покупка!$M$15:$M$44,$B507)</f>
        <v>0</v>
      </c>
      <c r="AM507" s="377">
        <f>SUMIFS(Покупка!AL$15:AL$44,Покупка!$A$15:$A$44,$A507,Покупка!$M$15:$M$44,$B507)</f>
        <v>0</v>
      </c>
      <c r="AN507" s="366">
        <f t="shared" si="91"/>
        <v>0</v>
      </c>
      <c r="AO507" s="366">
        <f t="shared" si="92"/>
        <v>0</v>
      </c>
      <c r="AP507" s="366">
        <f t="shared" si="93"/>
        <v>0</v>
      </c>
      <c r="AQ507" s="366">
        <f t="shared" si="94"/>
        <v>0</v>
      </c>
      <c r="AR507" s="366">
        <f t="shared" si="95"/>
        <v>0</v>
      </c>
      <c r="AS507" s="366">
        <f t="shared" si="96"/>
        <v>0</v>
      </c>
      <c r="AT507" s="366">
        <f t="shared" si="97"/>
        <v>0</v>
      </c>
      <c r="AU507" s="366">
        <f t="shared" si="98"/>
        <v>0</v>
      </c>
      <c r="AV507" s="366">
        <f t="shared" si="99"/>
        <v>0</v>
      </c>
      <c r="AW507" s="366">
        <f t="shared" si="100"/>
        <v>0</v>
      </c>
      <c r="AX507" s="179"/>
      <c r="AY507" s="179"/>
      <c r="AZ507" s="179"/>
    </row>
    <row r="508" spans="1:53" s="104" customFormat="1" outlineLevel="1">
      <c r="A508" s="477" t="str">
        <f t="shared" si="86"/>
        <v>1</v>
      </c>
      <c r="B508" s="104" t="s">
        <v>410</v>
      </c>
      <c r="D508" s="104" t="s">
        <v>1570</v>
      </c>
      <c r="L508" s="362" t="s">
        <v>591</v>
      </c>
      <c r="M508" s="369" t="s">
        <v>592</v>
      </c>
      <c r="N508" s="364" t="s">
        <v>352</v>
      </c>
      <c r="O508" s="377">
        <f>SUMIFS(Покупка!O$15:O$44,Покупка!$A$15:$A$44,$A508,Покупка!$M$15:$M$44,$B508)</f>
        <v>0</v>
      </c>
      <c r="P508" s="377">
        <f>SUMIFS(Покупка!P$15:P$44,Покупка!$A$15:$A$44,$A508,Покупка!$M$15:$M$44,$B508)</f>
        <v>0</v>
      </c>
      <c r="Q508" s="377">
        <f>SUMIFS(Покупка!Q$15:Q$44,Покупка!$A$15:$A$44,$A508,Покупка!$M$15:$M$44,$B508)</f>
        <v>0</v>
      </c>
      <c r="R508" s="366">
        <f t="shared" si="87"/>
        <v>0</v>
      </c>
      <c r="S508" s="377">
        <f>SUMIFS(Покупка!R$15:R$44,Покупка!$A$15:$A$44,$A508,Покупка!$M$15:$M$44,$B508)</f>
        <v>0</v>
      </c>
      <c r="T508" s="377">
        <f>SUMIFS(Покупка!S$15:S$44,Покупка!$A$15:$A$44,$A508,Покупка!$M$15:$M$44,$B508)</f>
        <v>0</v>
      </c>
      <c r="U508" s="377">
        <f>SUMIFS(Покупка!T$15:T$44,Покупка!$A$15:$A$44,$A508,Покупка!$M$15:$M$44,$B508)</f>
        <v>0</v>
      </c>
      <c r="V508" s="377">
        <f>SUMIFS(Покупка!U$15:U$44,Покупка!$A$15:$A$44,$A508,Покупка!$M$15:$M$44,$B508)</f>
        <v>0</v>
      </c>
      <c r="W508" s="377">
        <f>SUMIFS(Покупка!V$15:V$44,Покупка!$A$15:$A$44,$A508,Покупка!$M$15:$M$44,$B508)</f>
        <v>0</v>
      </c>
      <c r="X508" s="377">
        <f>SUMIFS(Покупка!W$15:W$44,Покупка!$A$15:$A$44,$A508,Покупка!$M$15:$M$44,$B508)</f>
        <v>0</v>
      </c>
      <c r="Y508" s="377">
        <f>SUMIFS(Покупка!X$15:X$44,Покупка!$A$15:$A$44,$A508,Покупка!$M$15:$M$44,$B508)</f>
        <v>0</v>
      </c>
      <c r="Z508" s="377">
        <f>SUMIFS(Покупка!Y$15:Y$44,Покупка!$A$15:$A$44,$A508,Покупка!$M$15:$M$44,$B508)</f>
        <v>0</v>
      </c>
      <c r="AA508" s="377">
        <f>SUMIFS(Покупка!Z$15:Z$44,Покупка!$A$15:$A$44,$A508,Покупка!$M$15:$M$44,$B508)</f>
        <v>0</v>
      </c>
      <c r="AB508" s="377">
        <f>SUMIFS(Покупка!AA$15:AA$44,Покупка!$A$15:$A$44,$A508,Покупка!$M$15:$M$44,$B508)</f>
        <v>0</v>
      </c>
      <c r="AC508" s="377">
        <f>SUMIFS(Покупка!AB$15:AB$44,Покупка!$A$15:$A$44,$A508,Покупка!$M$15:$M$44,$B508)</f>
        <v>0</v>
      </c>
      <c r="AD508" s="377">
        <f>SUMIFS(Покупка!AC$15:AC$44,Покупка!$A$15:$A$44,$A508,Покупка!$M$15:$M$44,$B508)</f>
        <v>0</v>
      </c>
      <c r="AE508" s="377">
        <f>SUMIFS(Покупка!AD$15:AD$44,Покупка!$A$15:$A$44,$A508,Покупка!$M$15:$M$44,$B508)</f>
        <v>0</v>
      </c>
      <c r="AF508" s="377">
        <f>SUMIFS(Покупка!AE$15:AE$44,Покупка!$A$15:$A$44,$A508,Покупка!$M$15:$M$44,$B508)</f>
        <v>0</v>
      </c>
      <c r="AG508" s="377">
        <f>SUMIFS(Покупка!AF$15:AF$44,Покупка!$A$15:$A$44,$A508,Покупка!$M$15:$M$44,$B508)</f>
        <v>0</v>
      </c>
      <c r="AH508" s="377">
        <f>SUMIFS(Покупка!AG$15:AG$44,Покупка!$A$15:$A$44,$A508,Покупка!$M$15:$M$44,$B508)</f>
        <v>0</v>
      </c>
      <c r="AI508" s="377">
        <f>SUMIFS(Покупка!AH$15:AH$44,Покупка!$A$15:$A$44,$A508,Покупка!$M$15:$M$44,$B508)</f>
        <v>0</v>
      </c>
      <c r="AJ508" s="377">
        <f>SUMIFS(Покупка!AI$15:AI$44,Покупка!$A$15:$A$44,$A508,Покупка!$M$15:$M$44,$B508)</f>
        <v>0</v>
      </c>
      <c r="AK508" s="377">
        <f>SUMIFS(Покупка!AJ$15:AJ$44,Покупка!$A$15:$A$44,$A508,Покупка!$M$15:$M$44,$B508)</f>
        <v>0</v>
      </c>
      <c r="AL508" s="377">
        <f>SUMIFS(Покупка!AK$15:AK$44,Покупка!$A$15:$A$44,$A508,Покупка!$M$15:$M$44,$B508)</f>
        <v>0</v>
      </c>
      <c r="AM508" s="377">
        <f>SUMIFS(Покупка!AL$15:AL$44,Покупка!$A$15:$A$44,$A508,Покупка!$M$15:$M$44,$B508)</f>
        <v>0</v>
      </c>
      <c r="AN508" s="366">
        <f t="shared" si="91"/>
        <v>0</v>
      </c>
      <c r="AO508" s="366">
        <f t="shared" si="92"/>
        <v>0</v>
      </c>
      <c r="AP508" s="366">
        <f t="shared" si="93"/>
        <v>0</v>
      </c>
      <c r="AQ508" s="366">
        <f t="shared" si="94"/>
        <v>0</v>
      </c>
      <c r="AR508" s="366">
        <f t="shared" si="95"/>
        <v>0</v>
      </c>
      <c r="AS508" s="366">
        <f t="shared" si="96"/>
        <v>0</v>
      </c>
      <c r="AT508" s="366">
        <f t="shared" si="97"/>
        <v>0</v>
      </c>
      <c r="AU508" s="366">
        <f t="shared" si="98"/>
        <v>0</v>
      </c>
      <c r="AV508" s="366">
        <f t="shared" si="99"/>
        <v>0</v>
      </c>
      <c r="AW508" s="366">
        <f t="shared" si="100"/>
        <v>0</v>
      </c>
      <c r="AX508" s="179"/>
      <c r="AY508" s="179"/>
      <c r="AZ508" s="179"/>
    </row>
    <row r="509" spans="1:53" s="104" customFormat="1" ht="22.8" outlineLevel="1">
      <c r="A509" s="477" t="str">
        <f t="shared" si="86"/>
        <v>1</v>
      </c>
      <c r="D509" s="104" t="s">
        <v>1571</v>
      </c>
      <c r="L509" s="362" t="s">
        <v>593</v>
      </c>
      <c r="M509" s="369" t="s">
        <v>594</v>
      </c>
      <c r="N509" s="364" t="s">
        <v>352</v>
      </c>
      <c r="O509" s="365"/>
      <c r="P509" s="365"/>
      <c r="Q509" s="365"/>
      <c r="R509" s="366">
        <f t="shared" si="87"/>
        <v>0</v>
      </c>
      <c r="S509" s="365"/>
      <c r="T509" s="365"/>
      <c r="U509" s="365"/>
      <c r="V509" s="365"/>
      <c r="W509" s="365"/>
      <c r="X509" s="365"/>
      <c r="Y509" s="365"/>
      <c r="Z509" s="365"/>
      <c r="AA509" s="365"/>
      <c r="AB509" s="365"/>
      <c r="AC509" s="365"/>
      <c r="AD509" s="365"/>
      <c r="AE509" s="365"/>
      <c r="AF509" s="365"/>
      <c r="AG509" s="365"/>
      <c r="AH509" s="365"/>
      <c r="AI509" s="365"/>
      <c r="AJ509" s="365"/>
      <c r="AK509" s="365"/>
      <c r="AL509" s="365"/>
      <c r="AM509" s="365"/>
      <c r="AN509" s="366">
        <f t="shared" si="91"/>
        <v>0</v>
      </c>
      <c r="AO509" s="366">
        <f t="shared" si="92"/>
        <v>0</v>
      </c>
      <c r="AP509" s="366">
        <f t="shared" si="93"/>
        <v>0</v>
      </c>
      <c r="AQ509" s="366">
        <f t="shared" si="94"/>
        <v>0</v>
      </c>
      <c r="AR509" s="366">
        <f t="shared" si="95"/>
        <v>0</v>
      </c>
      <c r="AS509" s="366">
        <f t="shared" si="96"/>
        <v>0</v>
      </c>
      <c r="AT509" s="366">
        <f t="shared" si="97"/>
        <v>0</v>
      </c>
      <c r="AU509" s="366">
        <f t="shared" si="98"/>
        <v>0</v>
      </c>
      <c r="AV509" s="366">
        <f t="shared" si="99"/>
        <v>0</v>
      </c>
      <c r="AW509" s="366">
        <f t="shared" si="100"/>
        <v>0</v>
      </c>
      <c r="AX509" s="179"/>
      <c r="AY509" s="179"/>
      <c r="AZ509" s="179"/>
    </row>
    <row r="510" spans="1:53" s="104" customFormat="1" outlineLevel="1">
      <c r="A510" s="477" t="str">
        <f t="shared" si="86"/>
        <v>1</v>
      </c>
      <c r="D510" s="104" t="s">
        <v>1572</v>
      </c>
      <c r="L510" s="362" t="s">
        <v>595</v>
      </c>
      <c r="M510" s="369" t="s">
        <v>596</v>
      </c>
      <c r="N510" s="364" t="s">
        <v>352</v>
      </c>
      <c r="O510" s="365"/>
      <c r="P510" s="365"/>
      <c r="Q510" s="365"/>
      <c r="R510" s="366">
        <f t="shared" si="87"/>
        <v>0</v>
      </c>
      <c r="S510" s="365"/>
      <c r="T510" s="365"/>
      <c r="U510" s="365"/>
      <c r="V510" s="365"/>
      <c r="W510" s="365"/>
      <c r="X510" s="365"/>
      <c r="Y510" s="365"/>
      <c r="Z510" s="365"/>
      <c r="AA510" s="365"/>
      <c r="AB510" s="365"/>
      <c r="AC510" s="365"/>
      <c r="AD510" s="365"/>
      <c r="AE510" s="365"/>
      <c r="AF510" s="365"/>
      <c r="AG510" s="365"/>
      <c r="AH510" s="365"/>
      <c r="AI510" s="365"/>
      <c r="AJ510" s="365"/>
      <c r="AK510" s="365"/>
      <c r="AL510" s="365"/>
      <c r="AM510" s="365"/>
      <c r="AN510" s="366">
        <f t="shared" si="91"/>
        <v>0</v>
      </c>
      <c r="AO510" s="366">
        <f t="shared" si="92"/>
        <v>0</v>
      </c>
      <c r="AP510" s="366">
        <f t="shared" si="93"/>
        <v>0</v>
      </c>
      <c r="AQ510" s="366">
        <f t="shared" si="94"/>
        <v>0</v>
      </c>
      <c r="AR510" s="366">
        <f t="shared" si="95"/>
        <v>0</v>
      </c>
      <c r="AS510" s="366">
        <f t="shared" si="96"/>
        <v>0</v>
      </c>
      <c r="AT510" s="366">
        <f t="shared" si="97"/>
        <v>0</v>
      </c>
      <c r="AU510" s="366">
        <f t="shared" si="98"/>
        <v>0</v>
      </c>
      <c r="AV510" s="366">
        <f t="shared" si="99"/>
        <v>0</v>
      </c>
      <c r="AW510" s="366">
        <f t="shared" si="100"/>
        <v>0</v>
      </c>
      <c r="AX510" s="179"/>
      <c r="AY510" s="179"/>
      <c r="AZ510" s="179"/>
    </row>
    <row r="511" spans="1:53" s="104" customFormat="1" outlineLevel="1">
      <c r="A511" s="477" t="str">
        <f t="shared" si="86"/>
        <v>1</v>
      </c>
      <c r="B511" s="104" t="s">
        <v>406</v>
      </c>
      <c r="D511" s="104" t="s">
        <v>1573</v>
      </c>
      <c r="L511" s="362" t="s">
        <v>597</v>
      </c>
      <c r="M511" s="369" t="s">
        <v>598</v>
      </c>
      <c r="N511" s="364" t="s">
        <v>352</v>
      </c>
      <c r="O511" s="377">
        <f>SUMIFS(Покупка!O$15:O$44,Покупка!$A$15:$A$44,$A511,Покупка!$M$15:$M$44,$B511)</f>
        <v>0</v>
      </c>
      <c r="P511" s="377">
        <f>SUMIFS(Покупка!P$15:P$44,Покупка!$A$15:$A$44,$A511,Покупка!$M$15:$M$44,$B511)</f>
        <v>0</v>
      </c>
      <c r="Q511" s="377">
        <f>SUMIFS(Покупка!Q$15:Q$44,Покупка!$A$15:$A$44,$A511,Покупка!$M$15:$M$44,$B511)</f>
        <v>0</v>
      </c>
      <c r="R511" s="366">
        <f t="shared" si="87"/>
        <v>0</v>
      </c>
      <c r="S511" s="377">
        <f>SUMIFS(Покупка!R$15:R$44,Покупка!$A$15:$A$44,$A511,Покупка!$M$15:$M$44,$B511)</f>
        <v>0</v>
      </c>
      <c r="T511" s="377">
        <f>SUMIFS(Покупка!S$15:S$44,Покупка!$A$15:$A$44,$A511,Покупка!$M$15:$M$44,$B511)</f>
        <v>0</v>
      </c>
      <c r="U511" s="377">
        <f>SUMIFS(Покупка!T$15:T$44,Покупка!$A$15:$A$44,$A511,Покупка!$M$15:$M$44,$B511)</f>
        <v>0</v>
      </c>
      <c r="V511" s="377">
        <f>SUMIFS(Покупка!U$15:U$44,Покупка!$A$15:$A$44,$A511,Покупка!$M$15:$M$44,$B511)</f>
        <v>0</v>
      </c>
      <c r="W511" s="377">
        <f>SUMIFS(Покупка!V$15:V$44,Покупка!$A$15:$A$44,$A511,Покупка!$M$15:$M$44,$B511)</f>
        <v>0</v>
      </c>
      <c r="X511" s="377">
        <f>SUMIFS(Покупка!W$15:W$44,Покупка!$A$15:$A$44,$A511,Покупка!$M$15:$M$44,$B511)</f>
        <v>0</v>
      </c>
      <c r="Y511" s="377">
        <f>SUMIFS(Покупка!X$15:X$44,Покупка!$A$15:$A$44,$A511,Покупка!$M$15:$M$44,$B511)</f>
        <v>0</v>
      </c>
      <c r="Z511" s="377">
        <f>SUMIFS(Покупка!Y$15:Y$44,Покупка!$A$15:$A$44,$A511,Покупка!$M$15:$M$44,$B511)</f>
        <v>0</v>
      </c>
      <c r="AA511" s="377">
        <f>SUMIFS(Покупка!Z$15:Z$44,Покупка!$A$15:$A$44,$A511,Покупка!$M$15:$M$44,$B511)</f>
        <v>0</v>
      </c>
      <c r="AB511" s="377">
        <f>SUMIFS(Покупка!AA$15:AA$44,Покупка!$A$15:$A$44,$A511,Покупка!$M$15:$M$44,$B511)</f>
        <v>0</v>
      </c>
      <c r="AC511" s="377">
        <f>SUMIFS(Покупка!AB$15:AB$44,Покупка!$A$15:$A$44,$A511,Покупка!$M$15:$M$44,$B511)</f>
        <v>0</v>
      </c>
      <c r="AD511" s="377">
        <f>SUMIFS(Покупка!AC$15:AC$44,Покупка!$A$15:$A$44,$A511,Покупка!$M$15:$M$44,$B511)</f>
        <v>0</v>
      </c>
      <c r="AE511" s="377">
        <f>SUMIFS(Покупка!AD$15:AD$44,Покупка!$A$15:$A$44,$A511,Покупка!$M$15:$M$44,$B511)</f>
        <v>0</v>
      </c>
      <c r="AF511" s="377">
        <f>SUMIFS(Покупка!AE$15:AE$44,Покупка!$A$15:$A$44,$A511,Покупка!$M$15:$M$44,$B511)</f>
        <v>0</v>
      </c>
      <c r="AG511" s="377">
        <f>SUMIFS(Покупка!AF$15:AF$44,Покупка!$A$15:$A$44,$A511,Покупка!$M$15:$M$44,$B511)</f>
        <v>0</v>
      </c>
      <c r="AH511" s="377">
        <f>SUMIFS(Покупка!AG$15:AG$44,Покупка!$A$15:$A$44,$A511,Покупка!$M$15:$M$44,$B511)</f>
        <v>0</v>
      </c>
      <c r="AI511" s="377">
        <f>SUMIFS(Покупка!AH$15:AH$44,Покупка!$A$15:$A$44,$A511,Покупка!$M$15:$M$44,$B511)</f>
        <v>0</v>
      </c>
      <c r="AJ511" s="377">
        <f>SUMIFS(Покупка!AI$15:AI$44,Покупка!$A$15:$A$44,$A511,Покупка!$M$15:$M$44,$B511)</f>
        <v>0</v>
      </c>
      <c r="AK511" s="377">
        <f>SUMIFS(Покупка!AJ$15:AJ$44,Покупка!$A$15:$A$44,$A511,Покупка!$M$15:$M$44,$B511)</f>
        <v>0</v>
      </c>
      <c r="AL511" s="377">
        <f>SUMIFS(Покупка!AK$15:AK$44,Покупка!$A$15:$A$44,$A511,Покупка!$M$15:$M$44,$B511)</f>
        <v>0</v>
      </c>
      <c r="AM511" s="377">
        <f>SUMIFS(Покупка!AL$15:AL$44,Покупка!$A$15:$A$44,$A511,Покупка!$M$15:$M$44,$B511)</f>
        <v>0</v>
      </c>
      <c r="AN511" s="366">
        <f t="shared" si="91"/>
        <v>0</v>
      </c>
      <c r="AO511" s="366">
        <f t="shared" si="92"/>
        <v>0</v>
      </c>
      <c r="AP511" s="366">
        <f t="shared" si="93"/>
        <v>0</v>
      </c>
      <c r="AQ511" s="366">
        <f t="shared" si="94"/>
        <v>0</v>
      </c>
      <c r="AR511" s="366">
        <f t="shared" si="95"/>
        <v>0</v>
      </c>
      <c r="AS511" s="366">
        <f t="shared" si="96"/>
        <v>0</v>
      </c>
      <c r="AT511" s="366">
        <f t="shared" si="97"/>
        <v>0</v>
      </c>
      <c r="AU511" s="366">
        <f t="shared" si="98"/>
        <v>0</v>
      </c>
      <c r="AV511" s="366">
        <f t="shared" si="99"/>
        <v>0</v>
      </c>
      <c r="AW511" s="366">
        <f t="shared" si="100"/>
        <v>0</v>
      </c>
      <c r="AX511" s="179"/>
      <c r="AY511" s="179"/>
      <c r="AZ511" s="179"/>
    </row>
    <row r="512" spans="1:53" s="104" customFormat="1" outlineLevel="1">
      <c r="A512" s="477" t="str">
        <f t="shared" si="86"/>
        <v>1</v>
      </c>
      <c r="B512" s="104" t="s">
        <v>407</v>
      </c>
      <c r="D512" s="104" t="s">
        <v>1574</v>
      </c>
      <c r="L512" s="362" t="s">
        <v>599</v>
      </c>
      <c r="M512" s="369" t="s">
        <v>600</v>
      </c>
      <c r="N512" s="364" t="s">
        <v>352</v>
      </c>
      <c r="O512" s="377">
        <f>SUMIFS(Покупка!O$15:O$44,Покупка!$A$15:$A$44,$A512,Покупка!$M$15:$M$44,$B512)</f>
        <v>0</v>
      </c>
      <c r="P512" s="377">
        <f>SUMIFS(Покупка!P$15:P$44,Покупка!$A$15:$A$44,$A512,Покупка!$M$15:$M$44,$B512)</f>
        <v>0</v>
      </c>
      <c r="Q512" s="377">
        <f>SUMIFS(Покупка!Q$15:Q$44,Покупка!$A$15:$A$44,$A512,Покупка!$M$15:$M$44,$B512)</f>
        <v>0</v>
      </c>
      <c r="R512" s="366">
        <f t="shared" si="87"/>
        <v>0</v>
      </c>
      <c r="S512" s="377">
        <f>SUMIFS(Покупка!R$15:R$44,Покупка!$A$15:$A$44,$A512,Покупка!$M$15:$M$44,$B512)</f>
        <v>0</v>
      </c>
      <c r="T512" s="377">
        <f>SUMIFS(Покупка!S$15:S$44,Покупка!$A$15:$A$44,$A512,Покупка!$M$15:$M$44,$B512)</f>
        <v>0</v>
      </c>
      <c r="U512" s="377">
        <f>SUMIFS(Покупка!T$15:T$44,Покупка!$A$15:$A$44,$A512,Покупка!$M$15:$M$44,$B512)</f>
        <v>0</v>
      </c>
      <c r="V512" s="377">
        <f>SUMIFS(Покупка!U$15:U$44,Покупка!$A$15:$A$44,$A512,Покупка!$M$15:$M$44,$B512)</f>
        <v>0</v>
      </c>
      <c r="W512" s="377">
        <f>SUMIFS(Покупка!V$15:V$44,Покупка!$A$15:$A$44,$A512,Покупка!$M$15:$M$44,$B512)</f>
        <v>0</v>
      </c>
      <c r="X512" s="377">
        <f>SUMIFS(Покупка!W$15:W$44,Покупка!$A$15:$A$44,$A512,Покупка!$M$15:$M$44,$B512)</f>
        <v>0</v>
      </c>
      <c r="Y512" s="377">
        <f>SUMIFS(Покупка!X$15:X$44,Покупка!$A$15:$A$44,$A512,Покупка!$M$15:$M$44,$B512)</f>
        <v>0</v>
      </c>
      <c r="Z512" s="377">
        <f>SUMIFS(Покупка!Y$15:Y$44,Покупка!$A$15:$A$44,$A512,Покупка!$M$15:$M$44,$B512)</f>
        <v>0</v>
      </c>
      <c r="AA512" s="377">
        <f>SUMIFS(Покупка!Z$15:Z$44,Покупка!$A$15:$A$44,$A512,Покупка!$M$15:$M$44,$B512)</f>
        <v>0</v>
      </c>
      <c r="AB512" s="377">
        <f>SUMIFS(Покупка!AA$15:AA$44,Покупка!$A$15:$A$44,$A512,Покупка!$M$15:$M$44,$B512)</f>
        <v>0</v>
      </c>
      <c r="AC512" s="377">
        <f>SUMIFS(Покупка!AB$15:AB$44,Покупка!$A$15:$A$44,$A512,Покупка!$M$15:$M$44,$B512)</f>
        <v>0</v>
      </c>
      <c r="AD512" s="377">
        <f>SUMIFS(Покупка!AC$15:AC$44,Покупка!$A$15:$A$44,$A512,Покупка!$M$15:$M$44,$B512)</f>
        <v>0</v>
      </c>
      <c r="AE512" s="377">
        <f>SUMIFS(Покупка!AD$15:AD$44,Покупка!$A$15:$A$44,$A512,Покупка!$M$15:$M$44,$B512)</f>
        <v>0</v>
      </c>
      <c r="AF512" s="377">
        <f>SUMIFS(Покупка!AE$15:AE$44,Покупка!$A$15:$A$44,$A512,Покупка!$M$15:$M$44,$B512)</f>
        <v>0</v>
      </c>
      <c r="AG512" s="377">
        <f>SUMIFS(Покупка!AF$15:AF$44,Покупка!$A$15:$A$44,$A512,Покупка!$M$15:$M$44,$B512)</f>
        <v>0</v>
      </c>
      <c r="AH512" s="377">
        <f>SUMIFS(Покупка!AG$15:AG$44,Покупка!$A$15:$A$44,$A512,Покупка!$M$15:$M$44,$B512)</f>
        <v>0</v>
      </c>
      <c r="AI512" s="377">
        <f>SUMIFS(Покупка!AH$15:AH$44,Покупка!$A$15:$A$44,$A512,Покупка!$M$15:$M$44,$B512)</f>
        <v>0</v>
      </c>
      <c r="AJ512" s="377">
        <f>SUMIFS(Покупка!AI$15:AI$44,Покупка!$A$15:$A$44,$A512,Покупка!$M$15:$M$44,$B512)</f>
        <v>0</v>
      </c>
      <c r="AK512" s="377">
        <f>SUMIFS(Покупка!AJ$15:AJ$44,Покупка!$A$15:$A$44,$A512,Покупка!$M$15:$M$44,$B512)</f>
        <v>0</v>
      </c>
      <c r="AL512" s="377">
        <f>SUMIFS(Покупка!AK$15:AK$44,Покупка!$A$15:$A$44,$A512,Покупка!$M$15:$M$44,$B512)</f>
        <v>0</v>
      </c>
      <c r="AM512" s="377">
        <f>SUMIFS(Покупка!AL$15:AL$44,Покупка!$A$15:$A$44,$A512,Покупка!$M$15:$M$44,$B512)</f>
        <v>0</v>
      </c>
      <c r="AN512" s="366">
        <f t="shared" si="91"/>
        <v>0</v>
      </c>
      <c r="AO512" s="366">
        <f t="shared" si="92"/>
        <v>0</v>
      </c>
      <c r="AP512" s="366">
        <f t="shared" si="93"/>
        <v>0</v>
      </c>
      <c r="AQ512" s="366">
        <f t="shared" si="94"/>
        <v>0</v>
      </c>
      <c r="AR512" s="366">
        <f t="shared" si="95"/>
        <v>0</v>
      </c>
      <c r="AS512" s="366">
        <f t="shared" si="96"/>
        <v>0</v>
      </c>
      <c r="AT512" s="366">
        <f t="shared" si="97"/>
        <v>0</v>
      </c>
      <c r="AU512" s="366">
        <f t="shared" si="98"/>
        <v>0</v>
      </c>
      <c r="AV512" s="366">
        <f t="shared" si="99"/>
        <v>0</v>
      </c>
      <c r="AW512" s="366">
        <f t="shared" si="100"/>
        <v>0</v>
      </c>
      <c r="AX512" s="179"/>
      <c r="AY512" s="179"/>
      <c r="AZ512" s="179"/>
    </row>
    <row r="513" spans="1:52" s="104" customFormat="1" outlineLevel="1">
      <c r="A513" s="477" t="str">
        <f t="shared" si="86"/>
        <v>1</v>
      </c>
      <c r="B513" s="104" t="s">
        <v>1293</v>
      </c>
      <c r="D513" s="104" t="s">
        <v>1575</v>
      </c>
      <c r="L513" s="362" t="s">
        <v>1305</v>
      </c>
      <c r="M513" s="369" t="s">
        <v>1306</v>
      </c>
      <c r="N513" s="364" t="s">
        <v>352</v>
      </c>
      <c r="O513" s="377">
        <f>SUMIFS(Покупка!O$15:O$44,Покупка!$A$15:$A$44,$A513,Покупка!$M$15:$M$44,$B513)</f>
        <v>0</v>
      </c>
      <c r="P513" s="377">
        <f>SUMIFS(Покупка!P$15:P$44,Покупка!$A$15:$A$44,$A513,Покупка!$M$15:$M$44,$B513)</f>
        <v>0</v>
      </c>
      <c r="Q513" s="377">
        <f>SUMIFS(Покупка!Q$15:Q$44,Покупка!$A$15:$A$44,$A513,Покупка!$M$15:$M$44,$B513)</f>
        <v>0</v>
      </c>
      <c r="R513" s="366">
        <f>Q513-P513</f>
        <v>0</v>
      </c>
      <c r="S513" s="377">
        <f>SUMIFS(Покупка!R$15:R$44,Покупка!$A$15:$A$44,$A513,Покупка!$M$15:$M$44,$B513)</f>
        <v>0</v>
      </c>
      <c r="T513" s="377">
        <f>SUMIFS(Покупка!S$15:S$44,Покупка!$A$15:$A$44,$A513,Покупка!$M$15:$M$44,$B513)</f>
        <v>0</v>
      </c>
      <c r="U513" s="377">
        <f>SUMIFS(Покупка!T$15:T$44,Покупка!$A$15:$A$44,$A513,Покупка!$M$15:$M$44,$B513)</f>
        <v>0</v>
      </c>
      <c r="V513" s="377">
        <f>SUMIFS(Покупка!U$15:U$44,Покупка!$A$15:$A$44,$A513,Покупка!$M$15:$M$44,$B513)</f>
        <v>0</v>
      </c>
      <c r="W513" s="377">
        <f>SUMIFS(Покупка!V$15:V$44,Покупка!$A$15:$A$44,$A513,Покупка!$M$15:$M$44,$B513)</f>
        <v>0</v>
      </c>
      <c r="X513" s="377">
        <f>SUMIFS(Покупка!W$15:W$44,Покупка!$A$15:$A$44,$A513,Покупка!$M$15:$M$44,$B513)</f>
        <v>0</v>
      </c>
      <c r="Y513" s="377">
        <f>SUMIFS(Покупка!X$15:X$44,Покупка!$A$15:$A$44,$A513,Покупка!$M$15:$M$44,$B513)</f>
        <v>0</v>
      </c>
      <c r="Z513" s="377">
        <f>SUMIFS(Покупка!Y$15:Y$44,Покупка!$A$15:$A$44,$A513,Покупка!$M$15:$M$44,$B513)</f>
        <v>0</v>
      </c>
      <c r="AA513" s="377">
        <f>SUMIFS(Покупка!Z$15:Z$44,Покупка!$A$15:$A$44,$A513,Покупка!$M$15:$M$44,$B513)</f>
        <v>0</v>
      </c>
      <c r="AB513" s="377">
        <f>SUMIFS(Покупка!AA$15:AA$44,Покупка!$A$15:$A$44,$A513,Покупка!$M$15:$M$44,$B513)</f>
        <v>0</v>
      </c>
      <c r="AC513" s="377">
        <f>SUMIFS(Покупка!AB$15:AB$44,Покупка!$A$15:$A$44,$A513,Покупка!$M$15:$M$44,$B513)</f>
        <v>0</v>
      </c>
      <c r="AD513" s="377">
        <f>SUMIFS(Покупка!AC$15:AC$44,Покупка!$A$15:$A$44,$A513,Покупка!$M$15:$M$44,$B513)</f>
        <v>0</v>
      </c>
      <c r="AE513" s="377">
        <f>SUMIFS(Покупка!AD$15:AD$44,Покупка!$A$15:$A$44,$A513,Покупка!$M$15:$M$44,$B513)</f>
        <v>0</v>
      </c>
      <c r="AF513" s="377">
        <f>SUMIFS(Покупка!AE$15:AE$44,Покупка!$A$15:$A$44,$A513,Покупка!$M$15:$M$44,$B513)</f>
        <v>0</v>
      </c>
      <c r="AG513" s="377">
        <f>SUMIFS(Покупка!AF$15:AF$44,Покупка!$A$15:$A$44,$A513,Покупка!$M$15:$M$44,$B513)</f>
        <v>0</v>
      </c>
      <c r="AH513" s="377">
        <f>SUMIFS(Покупка!AG$15:AG$44,Покупка!$A$15:$A$44,$A513,Покупка!$M$15:$M$44,$B513)</f>
        <v>0</v>
      </c>
      <c r="AI513" s="377">
        <f>SUMIFS(Покупка!AH$15:AH$44,Покупка!$A$15:$A$44,$A513,Покупка!$M$15:$M$44,$B513)</f>
        <v>0</v>
      </c>
      <c r="AJ513" s="377">
        <f>SUMIFS(Покупка!AI$15:AI$44,Покупка!$A$15:$A$44,$A513,Покупка!$M$15:$M$44,$B513)</f>
        <v>0</v>
      </c>
      <c r="AK513" s="377">
        <f>SUMIFS(Покупка!AJ$15:AJ$44,Покупка!$A$15:$A$44,$A513,Покупка!$M$15:$M$44,$B513)</f>
        <v>0</v>
      </c>
      <c r="AL513" s="377">
        <f>SUMIFS(Покупка!AK$15:AK$44,Покупка!$A$15:$A$44,$A513,Покупка!$M$15:$M$44,$B513)</f>
        <v>0</v>
      </c>
      <c r="AM513" s="377">
        <f>SUMIFS(Покупка!AL$15:AL$44,Покупка!$A$15:$A$44,$A513,Покупка!$M$15:$M$44,$B513)</f>
        <v>0</v>
      </c>
      <c r="AN513" s="366">
        <f>IF(S513=0,0,(AD513-S513)/S513*100)</f>
        <v>0</v>
      </c>
      <c r="AO513" s="366">
        <f t="shared" ref="AO513:AW513" si="101">IF(AD513=0,0,(AE513-AD513)/AD513*100)</f>
        <v>0</v>
      </c>
      <c r="AP513" s="366">
        <f t="shared" si="101"/>
        <v>0</v>
      </c>
      <c r="AQ513" s="366">
        <f t="shared" si="101"/>
        <v>0</v>
      </c>
      <c r="AR513" s="366">
        <f t="shared" si="101"/>
        <v>0</v>
      </c>
      <c r="AS513" s="366">
        <f t="shared" si="101"/>
        <v>0</v>
      </c>
      <c r="AT513" s="366">
        <f t="shared" si="101"/>
        <v>0</v>
      </c>
      <c r="AU513" s="366">
        <f t="shared" si="101"/>
        <v>0</v>
      </c>
      <c r="AV513" s="366">
        <f t="shared" si="101"/>
        <v>0</v>
      </c>
      <c r="AW513" s="366">
        <f t="shared" si="101"/>
        <v>0</v>
      </c>
      <c r="AX513" s="179"/>
      <c r="AY513" s="179"/>
      <c r="AZ513" s="179"/>
    </row>
    <row r="514" spans="1:52" s="104" customFormat="1" outlineLevel="1">
      <c r="A514" s="477" t="str">
        <f t="shared" si="86"/>
        <v>1</v>
      </c>
      <c r="D514" s="104" t="s">
        <v>1576</v>
      </c>
      <c r="L514" s="362" t="s">
        <v>138</v>
      </c>
      <c r="M514" s="363" t="s">
        <v>601</v>
      </c>
      <c r="N514" s="339" t="s">
        <v>352</v>
      </c>
      <c r="O514" s="377">
        <f>SUMIFS(Реагенты!O$15:O$22,Реагенты!$A$15:$A$22,$A514,Реагенты!$M$15:$M$22,"Всего по тарифу")</f>
        <v>0</v>
      </c>
      <c r="P514" s="377">
        <f>SUMIFS(Реагенты!P$15:P$22,Реагенты!$A$15:$A$22,$A514,Реагенты!$M$15:$M$22,"Всего по тарифу")</f>
        <v>0</v>
      </c>
      <c r="Q514" s="377">
        <f>SUMIFS(Реагенты!Q$15:Q$22,Реагенты!$A$15:$A$22,$A514,Реагенты!$M$15:$M$22,"Всего по тарифу")</f>
        <v>0</v>
      </c>
      <c r="R514" s="366">
        <f>Q514-P514</f>
        <v>0</v>
      </c>
      <c r="S514" s="377">
        <f>SUMIFS(Реагенты!R$15:R$22,Реагенты!$A$15:$A$22,$A514,Реагенты!$M$15:$M$22,"Всего по тарифу")</f>
        <v>0</v>
      </c>
      <c r="T514" s="377">
        <f>SUMIFS(Реагенты!S$15:S$22,Реагенты!$A$15:$A$22,$A514,Реагенты!$M$15:$M$22,"Всего по тарифу")</f>
        <v>0</v>
      </c>
      <c r="U514" s="377">
        <f>SUMIFS(Реагенты!T$15:T$22,Реагенты!$A$15:$A$22,$A514,Реагенты!$M$15:$M$22,"Всего по тарифу")</f>
        <v>0</v>
      </c>
      <c r="V514" s="377">
        <f>SUMIFS(Реагенты!U$15:U$22,Реагенты!$A$15:$A$22,$A514,Реагенты!$M$15:$M$22,"Всего по тарифу")</f>
        <v>0</v>
      </c>
      <c r="W514" s="377">
        <f>SUMIFS(Реагенты!V$15:V$22,Реагенты!$A$15:$A$22,$A514,Реагенты!$M$15:$M$22,"Всего по тарифу")</f>
        <v>0</v>
      </c>
      <c r="X514" s="377">
        <f>SUMIFS(Реагенты!W$15:W$22,Реагенты!$A$15:$A$22,$A514,Реагенты!$M$15:$M$22,"Всего по тарифу")</f>
        <v>0</v>
      </c>
      <c r="Y514" s="377">
        <f>SUMIFS(Реагенты!X$15:X$22,Реагенты!$A$15:$A$22,$A514,Реагенты!$M$15:$M$22,"Всего по тарифу")</f>
        <v>0</v>
      </c>
      <c r="Z514" s="377">
        <f>SUMIFS(Реагенты!Y$15:Y$22,Реагенты!$A$15:$A$22,$A514,Реагенты!$M$15:$M$22,"Всего по тарифу")</f>
        <v>0</v>
      </c>
      <c r="AA514" s="377">
        <f>SUMIFS(Реагенты!Z$15:Z$22,Реагенты!$A$15:$A$22,$A514,Реагенты!$M$15:$M$22,"Всего по тарифу")</f>
        <v>0</v>
      </c>
      <c r="AB514" s="377">
        <f>SUMIFS(Реагенты!AA$15:AA$22,Реагенты!$A$15:$A$22,$A514,Реагенты!$M$15:$M$22,"Всего по тарифу")</f>
        <v>0</v>
      </c>
      <c r="AC514" s="377">
        <f>SUMIFS(Реагенты!AB$15:AB$22,Реагенты!$A$15:$A$22,$A514,Реагенты!$M$15:$M$22,"Всего по тарифу")</f>
        <v>0</v>
      </c>
      <c r="AD514" s="377">
        <f>SUMIFS(Реагенты!AC$15:AC$22,Реагенты!$A$15:$A$22,$A514,Реагенты!$M$15:$M$22,"Всего по тарифу")</f>
        <v>0</v>
      </c>
      <c r="AE514" s="377">
        <f>SUMIFS(Реагенты!AD$15:AD$22,Реагенты!$A$15:$A$22,$A514,Реагенты!$M$15:$M$22,"Всего по тарифу")</f>
        <v>0</v>
      </c>
      <c r="AF514" s="377">
        <f>SUMIFS(Реагенты!AE$15:AE$22,Реагенты!$A$15:$A$22,$A514,Реагенты!$M$15:$M$22,"Всего по тарифу")</f>
        <v>0</v>
      </c>
      <c r="AG514" s="377">
        <f>SUMIFS(Реагенты!AF$15:AF$22,Реагенты!$A$15:$A$22,$A514,Реагенты!$M$15:$M$22,"Всего по тарифу")</f>
        <v>0</v>
      </c>
      <c r="AH514" s="377">
        <f>SUMIFS(Реагенты!AG$15:AG$22,Реагенты!$A$15:$A$22,$A514,Реагенты!$M$15:$M$22,"Всего по тарифу")</f>
        <v>0</v>
      </c>
      <c r="AI514" s="377">
        <f>SUMIFS(Реагенты!AH$15:AH$22,Реагенты!$A$15:$A$22,$A514,Реагенты!$M$15:$M$22,"Всего по тарифу")</f>
        <v>0</v>
      </c>
      <c r="AJ514" s="377">
        <f>SUMIFS(Реагенты!AI$15:AI$22,Реагенты!$A$15:$A$22,$A514,Реагенты!$M$15:$M$22,"Всего по тарифу")</f>
        <v>0</v>
      </c>
      <c r="AK514" s="377">
        <f>SUMIFS(Реагенты!AJ$15:AJ$22,Реагенты!$A$15:$A$22,$A514,Реагенты!$M$15:$M$22,"Всего по тарифу")</f>
        <v>0</v>
      </c>
      <c r="AL514" s="377">
        <f>SUMIFS(Реагенты!AK$15:AK$22,Реагенты!$A$15:$A$22,$A514,Реагенты!$M$15:$M$22,"Всего по тарифу")</f>
        <v>0</v>
      </c>
      <c r="AM514" s="377">
        <f>SUMIFS(Реагенты!AL$15:AL$22,Реагенты!$A$15:$A$22,$A514,Реагенты!$M$15:$M$22,"Всего по тарифу")</f>
        <v>0</v>
      </c>
      <c r="AN514" s="366">
        <f t="shared" si="91"/>
        <v>0</v>
      </c>
      <c r="AO514" s="366">
        <f t="shared" ref="AO514:AO545" si="102">IF(AD514=0,0,(AE514-AD514)/AD514*100)</f>
        <v>0</v>
      </c>
      <c r="AP514" s="366">
        <f t="shared" si="93"/>
        <v>0</v>
      </c>
      <c r="AQ514" s="366">
        <f t="shared" si="94"/>
        <v>0</v>
      </c>
      <c r="AR514" s="366">
        <f t="shared" si="95"/>
        <v>0</v>
      </c>
      <c r="AS514" s="366">
        <f t="shared" si="96"/>
        <v>0</v>
      </c>
      <c r="AT514" s="366">
        <f t="shared" si="97"/>
        <v>0</v>
      </c>
      <c r="AU514" s="366">
        <f t="shared" si="98"/>
        <v>0</v>
      </c>
      <c r="AV514" s="366">
        <f t="shared" si="99"/>
        <v>0</v>
      </c>
      <c r="AW514" s="366">
        <f t="shared" si="100"/>
        <v>0</v>
      </c>
      <c r="AX514" s="179"/>
      <c r="AY514" s="179"/>
      <c r="AZ514" s="179"/>
    </row>
    <row r="515" spans="1:52" s="109" customFormat="1" outlineLevel="1">
      <c r="A515" s="477" t="str">
        <f t="shared" si="86"/>
        <v>1</v>
      </c>
      <c r="C515" s="104"/>
      <c r="D515" s="104" t="s">
        <v>1577</v>
      </c>
      <c r="L515" s="381" t="s">
        <v>151</v>
      </c>
      <c r="M515" s="465" t="s">
        <v>602</v>
      </c>
      <c r="N515" s="382" t="s">
        <v>352</v>
      </c>
      <c r="O515" s="360">
        <f>SUM(O516:O524)</f>
        <v>36.340000000000003</v>
      </c>
      <c r="P515" s="360">
        <f t="shared" ref="P515:AM515" si="103">SUM(P516:P524)</f>
        <v>19.52</v>
      </c>
      <c r="Q515" s="360">
        <f t="shared" si="103"/>
        <v>0</v>
      </c>
      <c r="R515" s="360">
        <f t="shared" ref="R515:R524" si="104">Q515-P515</f>
        <v>-19.52</v>
      </c>
      <c r="S515" s="360">
        <f t="shared" si="103"/>
        <v>34.9</v>
      </c>
      <c r="T515" s="361">
        <f t="shared" si="103"/>
        <v>19.52</v>
      </c>
      <c r="U515" s="360">
        <f t="shared" si="103"/>
        <v>0</v>
      </c>
      <c r="V515" s="360">
        <f t="shared" si="103"/>
        <v>0</v>
      </c>
      <c r="W515" s="360">
        <f t="shared" si="103"/>
        <v>0</v>
      </c>
      <c r="X515" s="360">
        <f t="shared" si="103"/>
        <v>0</v>
      </c>
      <c r="Y515" s="360">
        <f t="shared" si="103"/>
        <v>0</v>
      </c>
      <c r="Z515" s="360">
        <f t="shared" si="103"/>
        <v>0</v>
      </c>
      <c r="AA515" s="360">
        <f t="shared" si="103"/>
        <v>0</v>
      </c>
      <c r="AB515" s="360">
        <f t="shared" si="103"/>
        <v>0</v>
      </c>
      <c r="AC515" s="360">
        <f t="shared" si="103"/>
        <v>0</v>
      </c>
      <c r="AD515" s="361">
        <f t="shared" si="103"/>
        <v>0</v>
      </c>
      <c r="AE515" s="360">
        <f t="shared" si="103"/>
        <v>0</v>
      </c>
      <c r="AF515" s="360">
        <f t="shared" si="103"/>
        <v>0</v>
      </c>
      <c r="AG515" s="360">
        <f t="shared" si="103"/>
        <v>0</v>
      </c>
      <c r="AH515" s="360">
        <f t="shared" si="103"/>
        <v>0</v>
      </c>
      <c r="AI515" s="360">
        <f t="shared" si="103"/>
        <v>0</v>
      </c>
      <c r="AJ515" s="360">
        <f t="shared" si="103"/>
        <v>0</v>
      </c>
      <c r="AK515" s="360">
        <f t="shared" si="103"/>
        <v>0</v>
      </c>
      <c r="AL515" s="360">
        <f t="shared" si="103"/>
        <v>0</v>
      </c>
      <c r="AM515" s="360">
        <f t="shared" si="103"/>
        <v>0</v>
      </c>
      <c r="AN515" s="360">
        <f t="shared" si="91"/>
        <v>-100</v>
      </c>
      <c r="AO515" s="360">
        <f t="shared" si="102"/>
        <v>0</v>
      </c>
      <c r="AP515" s="360">
        <f t="shared" si="93"/>
        <v>0</v>
      </c>
      <c r="AQ515" s="360">
        <f t="shared" si="94"/>
        <v>0</v>
      </c>
      <c r="AR515" s="360">
        <f t="shared" si="95"/>
        <v>0</v>
      </c>
      <c r="AS515" s="360">
        <f t="shared" si="96"/>
        <v>0</v>
      </c>
      <c r="AT515" s="360">
        <f t="shared" si="97"/>
        <v>0</v>
      </c>
      <c r="AU515" s="360">
        <f t="shared" si="98"/>
        <v>0</v>
      </c>
      <c r="AV515" s="360">
        <f t="shared" si="99"/>
        <v>0</v>
      </c>
      <c r="AW515" s="360">
        <f t="shared" si="100"/>
        <v>0</v>
      </c>
      <c r="AX515" s="467"/>
      <c r="AY515" s="467"/>
      <c r="AZ515" s="467"/>
    </row>
    <row r="516" spans="1:52" s="104" customFormat="1" outlineLevel="1">
      <c r="A516" s="477" t="str">
        <f t="shared" si="86"/>
        <v>1</v>
      </c>
      <c r="B516" s="104" t="s">
        <v>132</v>
      </c>
      <c r="D516" s="104" t="s">
        <v>1578</v>
      </c>
      <c r="L516" s="362" t="s">
        <v>152</v>
      </c>
      <c r="M516" s="369" t="s">
        <v>603</v>
      </c>
      <c r="N516" s="364" t="s">
        <v>352</v>
      </c>
      <c r="O516" s="377">
        <f>SUMIFS(Налоги!O$15:O$40,Налоги!$A$15:$A$40,$A516,Налоги!$M$15:$M$40,$B516)</f>
        <v>0</v>
      </c>
      <c r="P516" s="377">
        <f>SUMIFS(Налоги!P$15:P$40,Налоги!$A$15:$A$40,$A516,Налоги!$M$15:$M$40,$B516)</f>
        <v>0</v>
      </c>
      <c r="Q516" s="377">
        <f>SUMIFS(Налоги!Q$15:Q$40,Налоги!$A$15:$A$40,$A516,Налоги!$M$15:$M$40,$B516)</f>
        <v>0</v>
      </c>
      <c r="R516" s="366">
        <f t="shared" si="104"/>
        <v>0</v>
      </c>
      <c r="S516" s="377">
        <f>SUMIFS(Налоги!R$15:R$40,Налоги!$A$15:$A$40,$A516,Налоги!$M$15:$M$40,$B516)</f>
        <v>0</v>
      </c>
      <c r="T516" s="377">
        <f>SUMIFS(Налоги!S$15:S$40,Налоги!$A$15:$A$40,$A516,Налоги!$M$15:$M$40,$B516)</f>
        <v>0</v>
      </c>
      <c r="U516" s="377">
        <f>SUMIFS(Налоги!T$15:T$40,Налоги!$A$15:$A$40,$A516,Налоги!$M$15:$M$40,$B516)</f>
        <v>0</v>
      </c>
      <c r="V516" s="377">
        <f>SUMIFS(Налоги!U$15:U$40,Налоги!$A$15:$A$40,$A516,Налоги!$M$15:$M$40,$B516)</f>
        <v>0</v>
      </c>
      <c r="W516" s="377">
        <f>SUMIFS(Налоги!V$15:V$40,Налоги!$A$15:$A$40,$A516,Налоги!$M$15:$M$40,$B516)</f>
        <v>0</v>
      </c>
      <c r="X516" s="377">
        <f>SUMIFS(Налоги!W$15:W$40,Налоги!$A$15:$A$40,$A516,Налоги!$M$15:$M$40,$B516)</f>
        <v>0</v>
      </c>
      <c r="Y516" s="377">
        <f>SUMIFS(Налоги!X$15:X$40,Налоги!$A$15:$A$40,$A516,Налоги!$M$15:$M$40,$B516)</f>
        <v>0</v>
      </c>
      <c r="Z516" s="377">
        <f>SUMIFS(Налоги!Y$15:Y$40,Налоги!$A$15:$A$40,$A516,Налоги!$M$15:$M$40,$B516)</f>
        <v>0</v>
      </c>
      <c r="AA516" s="377">
        <f>SUMIFS(Налоги!Z$15:Z$40,Налоги!$A$15:$A$40,$A516,Налоги!$M$15:$M$40,$B516)</f>
        <v>0</v>
      </c>
      <c r="AB516" s="377">
        <f>SUMIFS(Налоги!AA$15:AA$40,Налоги!$A$15:$A$40,$A516,Налоги!$M$15:$M$40,$B516)</f>
        <v>0</v>
      </c>
      <c r="AC516" s="377">
        <f>SUMIFS(Налоги!AB$15:AB$40,Налоги!$A$15:$A$40,$A516,Налоги!$M$15:$M$40,$B516)</f>
        <v>0</v>
      </c>
      <c r="AD516" s="377">
        <f>SUMIFS(Налоги!AC$15:AC$40,Налоги!$A$15:$A$40,$A516,Налоги!$M$15:$M$40,$B516)</f>
        <v>0</v>
      </c>
      <c r="AE516" s="377">
        <f>SUMIFS(Налоги!AD$15:AD$40,Налоги!$A$15:$A$40,$A516,Налоги!$M$15:$M$40,$B516)</f>
        <v>0</v>
      </c>
      <c r="AF516" s="377">
        <f>SUMIFS(Налоги!AE$15:AE$40,Налоги!$A$15:$A$40,$A516,Налоги!$M$15:$M$40,$B516)</f>
        <v>0</v>
      </c>
      <c r="AG516" s="377">
        <f>SUMIFS(Налоги!AF$15:AF$40,Налоги!$A$15:$A$40,$A516,Налоги!$M$15:$M$40,$B516)</f>
        <v>0</v>
      </c>
      <c r="AH516" s="377">
        <f>SUMIFS(Налоги!AG$15:AG$40,Налоги!$A$15:$A$40,$A516,Налоги!$M$15:$M$40,$B516)</f>
        <v>0</v>
      </c>
      <c r="AI516" s="377">
        <f>SUMIFS(Налоги!AH$15:AH$40,Налоги!$A$15:$A$40,$A516,Налоги!$M$15:$M$40,$B516)</f>
        <v>0</v>
      </c>
      <c r="AJ516" s="377">
        <f>SUMIFS(Налоги!AI$15:AI$40,Налоги!$A$15:$A$40,$A516,Налоги!$M$15:$M$40,$B516)</f>
        <v>0</v>
      </c>
      <c r="AK516" s="377">
        <f>SUMIFS(Налоги!AJ$15:AJ$40,Налоги!$A$15:$A$40,$A516,Налоги!$M$15:$M$40,$B516)</f>
        <v>0</v>
      </c>
      <c r="AL516" s="377">
        <f>SUMIFS(Налоги!AK$15:AK$40,Налоги!$A$15:$A$40,$A516,Налоги!$M$15:$M$40,$B516)</f>
        <v>0</v>
      </c>
      <c r="AM516" s="377">
        <f>SUMIFS(Налоги!AL$15:AL$40,Налоги!$A$15:$A$40,$A516,Налоги!$M$15:$M$40,$B516)</f>
        <v>0</v>
      </c>
      <c r="AN516" s="366">
        <f t="shared" si="91"/>
        <v>0</v>
      </c>
      <c r="AO516" s="366">
        <f t="shared" si="102"/>
        <v>0</v>
      </c>
      <c r="AP516" s="366">
        <f t="shared" si="93"/>
        <v>0</v>
      </c>
      <c r="AQ516" s="366">
        <f t="shared" si="94"/>
        <v>0</v>
      </c>
      <c r="AR516" s="366">
        <f t="shared" si="95"/>
        <v>0</v>
      </c>
      <c r="AS516" s="366">
        <f t="shared" si="96"/>
        <v>0</v>
      </c>
      <c r="AT516" s="366">
        <f t="shared" si="97"/>
        <v>0</v>
      </c>
      <c r="AU516" s="366">
        <f t="shared" si="98"/>
        <v>0</v>
      </c>
      <c r="AV516" s="366">
        <f t="shared" si="99"/>
        <v>0</v>
      </c>
      <c r="AW516" s="366">
        <f t="shared" si="100"/>
        <v>0</v>
      </c>
      <c r="AX516" s="179"/>
      <c r="AY516" s="179"/>
      <c r="AZ516" s="179"/>
    </row>
    <row r="517" spans="1:52" s="104" customFormat="1" outlineLevel="1">
      <c r="A517" s="477" t="str">
        <f t="shared" ref="A517:A576" si="105">A516</f>
        <v>1</v>
      </c>
      <c r="B517" s="104" t="s">
        <v>133</v>
      </c>
      <c r="D517" s="104" t="s">
        <v>1579</v>
      </c>
      <c r="L517" s="362" t="s">
        <v>604</v>
      </c>
      <c r="M517" s="369" t="s">
        <v>605</v>
      </c>
      <c r="N517" s="364" t="s">
        <v>352</v>
      </c>
      <c r="O517" s="377">
        <f>SUMIFS(Налоги!O$15:O$40,Налоги!$A$15:$A$40,$A517,Налоги!$M$15:$M$40,$B517)</f>
        <v>36.340000000000003</v>
      </c>
      <c r="P517" s="377">
        <f>SUMIFS(Налоги!P$15:P$40,Налоги!$A$15:$A$40,$A517,Налоги!$M$15:$M$40,$B517)</f>
        <v>19.52</v>
      </c>
      <c r="Q517" s="377">
        <f>SUMIFS(Налоги!Q$15:Q$40,Налоги!$A$15:$A$40,$A517,Налоги!$M$15:$M$40,$B517)</f>
        <v>0</v>
      </c>
      <c r="R517" s="366">
        <f t="shared" si="104"/>
        <v>-19.52</v>
      </c>
      <c r="S517" s="377">
        <f>SUMIFS(Налоги!R$15:R$40,Налоги!$A$15:$A$40,$A517,Налоги!$M$15:$M$40,$B517)</f>
        <v>34.9</v>
      </c>
      <c r="T517" s="377">
        <f>SUMIFS(Налоги!S$15:S$40,Налоги!$A$15:$A$40,$A517,Налоги!$M$15:$M$40,$B517)</f>
        <v>19.52</v>
      </c>
      <c r="U517" s="377">
        <f>SUMIFS(Налоги!T$15:T$40,Налоги!$A$15:$A$40,$A517,Налоги!$M$15:$M$40,$B517)</f>
        <v>0</v>
      </c>
      <c r="V517" s="377">
        <f>SUMIFS(Налоги!U$15:U$40,Налоги!$A$15:$A$40,$A517,Налоги!$M$15:$M$40,$B517)</f>
        <v>0</v>
      </c>
      <c r="W517" s="377">
        <f>SUMIFS(Налоги!V$15:V$40,Налоги!$A$15:$A$40,$A517,Налоги!$M$15:$M$40,$B517)</f>
        <v>0</v>
      </c>
      <c r="X517" s="377">
        <f>SUMIFS(Налоги!W$15:W$40,Налоги!$A$15:$A$40,$A517,Налоги!$M$15:$M$40,$B517)</f>
        <v>0</v>
      </c>
      <c r="Y517" s="377">
        <f>SUMIFS(Налоги!X$15:X$40,Налоги!$A$15:$A$40,$A517,Налоги!$M$15:$M$40,$B517)</f>
        <v>0</v>
      </c>
      <c r="Z517" s="377">
        <f>SUMIFS(Налоги!Y$15:Y$40,Налоги!$A$15:$A$40,$A517,Налоги!$M$15:$M$40,$B517)</f>
        <v>0</v>
      </c>
      <c r="AA517" s="377">
        <f>SUMIFS(Налоги!Z$15:Z$40,Налоги!$A$15:$A$40,$A517,Налоги!$M$15:$M$40,$B517)</f>
        <v>0</v>
      </c>
      <c r="AB517" s="377">
        <f>SUMIFS(Налоги!AA$15:AA$40,Налоги!$A$15:$A$40,$A517,Налоги!$M$15:$M$40,$B517)</f>
        <v>0</v>
      </c>
      <c r="AC517" s="377">
        <f>SUMIFS(Налоги!AB$15:AB$40,Налоги!$A$15:$A$40,$A517,Налоги!$M$15:$M$40,$B517)</f>
        <v>0</v>
      </c>
      <c r="AD517" s="377">
        <f>SUMIFS(Налоги!AC$15:AC$40,Налоги!$A$15:$A$40,$A517,Налоги!$M$15:$M$40,$B517)</f>
        <v>0</v>
      </c>
      <c r="AE517" s="377">
        <f>SUMIFS(Налоги!AD$15:AD$40,Налоги!$A$15:$A$40,$A517,Налоги!$M$15:$M$40,$B517)</f>
        <v>0</v>
      </c>
      <c r="AF517" s="377">
        <f>SUMIFS(Налоги!AE$15:AE$40,Налоги!$A$15:$A$40,$A517,Налоги!$M$15:$M$40,$B517)</f>
        <v>0</v>
      </c>
      <c r="AG517" s="377">
        <f>SUMIFS(Налоги!AF$15:AF$40,Налоги!$A$15:$A$40,$A517,Налоги!$M$15:$M$40,$B517)</f>
        <v>0</v>
      </c>
      <c r="AH517" s="377">
        <f>SUMIFS(Налоги!AG$15:AG$40,Налоги!$A$15:$A$40,$A517,Налоги!$M$15:$M$40,$B517)</f>
        <v>0</v>
      </c>
      <c r="AI517" s="377">
        <f>SUMIFS(Налоги!AH$15:AH$40,Налоги!$A$15:$A$40,$A517,Налоги!$M$15:$M$40,$B517)</f>
        <v>0</v>
      </c>
      <c r="AJ517" s="377">
        <f>SUMIFS(Налоги!AI$15:AI$40,Налоги!$A$15:$A$40,$A517,Налоги!$M$15:$M$40,$B517)</f>
        <v>0</v>
      </c>
      <c r="AK517" s="377">
        <f>SUMIFS(Налоги!AJ$15:AJ$40,Налоги!$A$15:$A$40,$A517,Налоги!$M$15:$M$40,$B517)</f>
        <v>0</v>
      </c>
      <c r="AL517" s="377">
        <f>SUMIFS(Налоги!AK$15:AK$40,Налоги!$A$15:$A$40,$A517,Налоги!$M$15:$M$40,$B517)</f>
        <v>0</v>
      </c>
      <c r="AM517" s="377">
        <f>SUMIFS(Налоги!AL$15:AL$40,Налоги!$A$15:$A$40,$A517,Налоги!$M$15:$M$40,$B517)</f>
        <v>0</v>
      </c>
      <c r="AN517" s="366">
        <f t="shared" si="91"/>
        <v>-100</v>
      </c>
      <c r="AO517" s="366">
        <f t="shared" si="102"/>
        <v>0</v>
      </c>
      <c r="AP517" s="366">
        <f t="shared" si="93"/>
        <v>0</v>
      </c>
      <c r="AQ517" s="366">
        <f t="shared" si="94"/>
        <v>0</v>
      </c>
      <c r="AR517" s="366">
        <f t="shared" si="95"/>
        <v>0</v>
      </c>
      <c r="AS517" s="366">
        <f t="shared" si="96"/>
        <v>0</v>
      </c>
      <c r="AT517" s="366">
        <f t="shared" si="97"/>
        <v>0</v>
      </c>
      <c r="AU517" s="366">
        <f t="shared" si="98"/>
        <v>0</v>
      </c>
      <c r="AV517" s="366">
        <f t="shared" si="99"/>
        <v>0</v>
      </c>
      <c r="AW517" s="366">
        <f t="shared" si="100"/>
        <v>0</v>
      </c>
      <c r="AX517" s="179"/>
      <c r="AY517" s="179"/>
      <c r="AZ517" s="179"/>
    </row>
    <row r="518" spans="1:52" s="104" customFormat="1" outlineLevel="1">
      <c r="A518" s="477" t="str">
        <f t="shared" si="105"/>
        <v>1</v>
      </c>
      <c r="B518" s="104" t="s">
        <v>413</v>
      </c>
      <c r="D518" s="104" t="s">
        <v>1580</v>
      </c>
      <c r="L518" s="362" t="s">
        <v>606</v>
      </c>
      <c r="M518" s="369" t="s">
        <v>607</v>
      </c>
      <c r="N518" s="364" t="s">
        <v>352</v>
      </c>
      <c r="O518" s="377">
        <f>SUMIFS(Налоги!O$15:O$40,Налоги!$A$15:$A$40,$A518,Налоги!$M$15:$M$40,$B518)</f>
        <v>0</v>
      </c>
      <c r="P518" s="377">
        <f>SUMIFS(Налоги!P$15:P$40,Налоги!$A$15:$A$40,$A518,Налоги!$M$15:$M$40,$B518)</f>
        <v>0</v>
      </c>
      <c r="Q518" s="377">
        <f>SUMIFS(Налоги!Q$15:Q$40,Налоги!$A$15:$A$40,$A518,Налоги!$M$15:$M$40,$B518)</f>
        <v>0</v>
      </c>
      <c r="R518" s="366">
        <f t="shared" si="104"/>
        <v>0</v>
      </c>
      <c r="S518" s="377">
        <f>SUMIFS(Налоги!R$15:R$40,Налоги!$A$15:$A$40,$A518,Налоги!$M$15:$M$40,$B518)</f>
        <v>0</v>
      </c>
      <c r="T518" s="377">
        <f>SUMIFS(Налоги!S$15:S$40,Налоги!$A$15:$A$40,$A518,Налоги!$M$15:$M$40,$B518)</f>
        <v>0</v>
      </c>
      <c r="U518" s="377">
        <f>SUMIFS(Налоги!T$15:T$40,Налоги!$A$15:$A$40,$A518,Налоги!$M$15:$M$40,$B518)</f>
        <v>0</v>
      </c>
      <c r="V518" s="377">
        <f>SUMIFS(Налоги!U$15:U$40,Налоги!$A$15:$A$40,$A518,Налоги!$M$15:$M$40,$B518)</f>
        <v>0</v>
      </c>
      <c r="W518" s="377">
        <f>SUMIFS(Налоги!V$15:V$40,Налоги!$A$15:$A$40,$A518,Налоги!$M$15:$M$40,$B518)</f>
        <v>0</v>
      </c>
      <c r="X518" s="377">
        <f>SUMIFS(Налоги!W$15:W$40,Налоги!$A$15:$A$40,$A518,Налоги!$M$15:$M$40,$B518)</f>
        <v>0</v>
      </c>
      <c r="Y518" s="377">
        <f>SUMIFS(Налоги!X$15:X$40,Налоги!$A$15:$A$40,$A518,Налоги!$M$15:$M$40,$B518)</f>
        <v>0</v>
      </c>
      <c r="Z518" s="377">
        <f>SUMIFS(Налоги!Y$15:Y$40,Налоги!$A$15:$A$40,$A518,Налоги!$M$15:$M$40,$B518)</f>
        <v>0</v>
      </c>
      <c r="AA518" s="377">
        <f>SUMIFS(Налоги!Z$15:Z$40,Налоги!$A$15:$A$40,$A518,Налоги!$M$15:$M$40,$B518)</f>
        <v>0</v>
      </c>
      <c r="AB518" s="377">
        <f>SUMIFS(Налоги!AA$15:AA$40,Налоги!$A$15:$A$40,$A518,Налоги!$M$15:$M$40,$B518)</f>
        <v>0</v>
      </c>
      <c r="AC518" s="377">
        <f>SUMIFS(Налоги!AB$15:AB$40,Налоги!$A$15:$A$40,$A518,Налоги!$M$15:$M$40,$B518)</f>
        <v>0</v>
      </c>
      <c r="AD518" s="377">
        <f>SUMIFS(Налоги!AC$15:AC$40,Налоги!$A$15:$A$40,$A518,Налоги!$M$15:$M$40,$B518)</f>
        <v>0</v>
      </c>
      <c r="AE518" s="377">
        <f>SUMIFS(Налоги!AD$15:AD$40,Налоги!$A$15:$A$40,$A518,Налоги!$M$15:$M$40,$B518)</f>
        <v>0</v>
      </c>
      <c r="AF518" s="377">
        <f>SUMIFS(Налоги!AE$15:AE$40,Налоги!$A$15:$A$40,$A518,Налоги!$M$15:$M$40,$B518)</f>
        <v>0</v>
      </c>
      <c r="AG518" s="377">
        <f>SUMIFS(Налоги!AF$15:AF$40,Налоги!$A$15:$A$40,$A518,Налоги!$M$15:$M$40,$B518)</f>
        <v>0</v>
      </c>
      <c r="AH518" s="377">
        <f>SUMIFS(Налоги!AG$15:AG$40,Налоги!$A$15:$A$40,$A518,Налоги!$M$15:$M$40,$B518)</f>
        <v>0</v>
      </c>
      <c r="AI518" s="377">
        <f>SUMIFS(Налоги!AH$15:AH$40,Налоги!$A$15:$A$40,$A518,Налоги!$M$15:$M$40,$B518)</f>
        <v>0</v>
      </c>
      <c r="AJ518" s="377">
        <f>SUMIFS(Налоги!AI$15:AI$40,Налоги!$A$15:$A$40,$A518,Налоги!$M$15:$M$40,$B518)</f>
        <v>0</v>
      </c>
      <c r="AK518" s="377">
        <f>SUMIFS(Налоги!AJ$15:AJ$40,Налоги!$A$15:$A$40,$A518,Налоги!$M$15:$M$40,$B518)</f>
        <v>0</v>
      </c>
      <c r="AL518" s="377">
        <f>SUMIFS(Налоги!AK$15:AK$40,Налоги!$A$15:$A$40,$A518,Налоги!$M$15:$M$40,$B518)</f>
        <v>0</v>
      </c>
      <c r="AM518" s="377">
        <f>SUMIFS(Налоги!AL$15:AL$40,Налоги!$A$15:$A$40,$A518,Налоги!$M$15:$M$40,$B518)</f>
        <v>0</v>
      </c>
      <c r="AN518" s="366">
        <f t="shared" si="91"/>
        <v>0</v>
      </c>
      <c r="AO518" s="366">
        <f t="shared" si="102"/>
        <v>0</v>
      </c>
      <c r="AP518" s="366">
        <f t="shared" si="93"/>
        <v>0</v>
      </c>
      <c r="AQ518" s="366">
        <f t="shared" si="94"/>
        <v>0</v>
      </c>
      <c r="AR518" s="366">
        <f t="shared" si="95"/>
        <v>0</v>
      </c>
      <c r="AS518" s="366">
        <f t="shared" si="96"/>
        <v>0</v>
      </c>
      <c r="AT518" s="366">
        <f t="shared" si="97"/>
        <v>0</v>
      </c>
      <c r="AU518" s="366">
        <f t="shared" si="98"/>
        <v>0</v>
      </c>
      <c r="AV518" s="366">
        <f t="shared" si="99"/>
        <v>0</v>
      </c>
      <c r="AW518" s="366">
        <f t="shared" si="100"/>
        <v>0</v>
      </c>
      <c r="AX518" s="179"/>
      <c r="AY518" s="179"/>
      <c r="AZ518" s="179"/>
    </row>
    <row r="519" spans="1:52" s="104" customFormat="1" outlineLevel="1">
      <c r="A519" s="477" t="str">
        <f t="shared" si="105"/>
        <v>1</v>
      </c>
      <c r="B519" s="104" t="s">
        <v>414</v>
      </c>
      <c r="D519" s="104" t="s">
        <v>1581</v>
      </c>
      <c r="L519" s="362" t="s">
        <v>608</v>
      </c>
      <c r="M519" s="369" t="s">
        <v>609</v>
      </c>
      <c r="N519" s="364" t="s">
        <v>352</v>
      </c>
      <c r="O519" s="377">
        <f>SUMIFS(Налоги!O$15:O$40,Налоги!$A$15:$A$40,$A519,Налоги!$M$15:$M$40,$B519)</f>
        <v>0</v>
      </c>
      <c r="P519" s="377">
        <f>SUMIFS(Налоги!P$15:P$40,Налоги!$A$15:$A$40,$A519,Налоги!$M$15:$M$40,$B519)</f>
        <v>0</v>
      </c>
      <c r="Q519" s="377">
        <f>SUMIFS(Налоги!Q$15:Q$40,Налоги!$A$15:$A$40,$A519,Налоги!$M$15:$M$40,$B519)</f>
        <v>0</v>
      </c>
      <c r="R519" s="366">
        <f t="shared" si="104"/>
        <v>0</v>
      </c>
      <c r="S519" s="377">
        <f>SUMIFS(Налоги!R$15:R$40,Налоги!$A$15:$A$40,$A519,Налоги!$M$15:$M$40,$B519)</f>
        <v>0</v>
      </c>
      <c r="T519" s="377">
        <f>SUMIFS(Налоги!S$15:S$40,Налоги!$A$15:$A$40,$A519,Налоги!$M$15:$M$40,$B519)</f>
        <v>0</v>
      </c>
      <c r="U519" s="377">
        <f>SUMIFS(Налоги!T$15:T$40,Налоги!$A$15:$A$40,$A519,Налоги!$M$15:$M$40,$B519)</f>
        <v>0</v>
      </c>
      <c r="V519" s="377">
        <f>SUMIFS(Налоги!U$15:U$40,Налоги!$A$15:$A$40,$A519,Налоги!$M$15:$M$40,$B519)</f>
        <v>0</v>
      </c>
      <c r="W519" s="377">
        <f>SUMIFS(Налоги!V$15:V$40,Налоги!$A$15:$A$40,$A519,Налоги!$M$15:$M$40,$B519)</f>
        <v>0</v>
      </c>
      <c r="X519" s="377">
        <f>SUMIFS(Налоги!W$15:W$40,Налоги!$A$15:$A$40,$A519,Налоги!$M$15:$M$40,$B519)</f>
        <v>0</v>
      </c>
      <c r="Y519" s="377">
        <f>SUMIFS(Налоги!X$15:X$40,Налоги!$A$15:$A$40,$A519,Налоги!$M$15:$M$40,$B519)</f>
        <v>0</v>
      </c>
      <c r="Z519" s="377">
        <f>SUMIFS(Налоги!Y$15:Y$40,Налоги!$A$15:$A$40,$A519,Налоги!$M$15:$M$40,$B519)</f>
        <v>0</v>
      </c>
      <c r="AA519" s="377">
        <f>SUMIFS(Налоги!Z$15:Z$40,Налоги!$A$15:$A$40,$A519,Налоги!$M$15:$M$40,$B519)</f>
        <v>0</v>
      </c>
      <c r="AB519" s="377">
        <f>SUMIFS(Налоги!AA$15:AA$40,Налоги!$A$15:$A$40,$A519,Налоги!$M$15:$M$40,$B519)</f>
        <v>0</v>
      </c>
      <c r="AC519" s="377">
        <f>SUMIFS(Налоги!AB$15:AB$40,Налоги!$A$15:$A$40,$A519,Налоги!$M$15:$M$40,$B519)</f>
        <v>0</v>
      </c>
      <c r="AD519" s="377">
        <f>SUMIFS(Налоги!AC$15:AC$40,Налоги!$A$15:$A$40,$A519,Налоги!$M$15:$M$40,$B519)</f>
        <v>0</v>
      </c>
      <c r="AE519" s="377">
        <f>SUMIFS(Налоги!AD$15:AD$40,Налоги!$A$15:$A$40,$A519,Налоги!$M$15:$M$40,$B519)</f>
        <v>0</v>
      </c>
      <c r="AF519" s="377">
        <f>SUMIFS(Налоги!AE$15:AE$40,Налоги!$A$15:$A$40,$A519,Налоги!$M$15:$M$40,$B519)</f>
        <v>0</v>
      </c>
      <c r="AG519" s="377">
        <f>SUMIFS(Налоги!AF$15:AF$40,Налоги!$A$15:$A$40,$A519,Налоги!$M$15:$M$40,$B519)</f>
        <v>0</v>
      </c>
      <c r="AH519" s="377">
        <f>SUMIFS(Налоги!AG$15:AG$40,Налоги!$A$15:$A$40,$A519,Налоги!$M$15:$M$40,$B519)</f>
        <v>0</v>
      </c>
      <c r="AI519" s="377">
        <f>SUMIFS(Налоги!AH$15:AH$40,Налоги!$A$15:$A$40,$A519,Налоги!$M$15:$M$40,$B519)</f>
        <v>0</v>
      </c>
      <c r="AJ519" s="377">
        <f>SUMIFS(Налоги!AI$15:AI$40,Налоги!$A$15:$A$40,$A519,Налоги!$M$15:$M$40,$B519)</f>
        <v>0</v>
      </c>
      <c r="AK519" s="377">
        <f>SUMIFS(Налоги!AJ$15:AJ$40,Налоги!$A$15:$A$40,$A519,Налоги!$M$15:$M$40,$B519)</f>
        <v>0</v>
      </c>
      <c r="AL519" s="377">
        <f>SUMIFS(Налоги!AK$15:AK$40,Налоги!$A$15:$A$40,$A519,Налоги!$M$15:$M$40,$B519)</f>
        <v>0</v>
      </c>
      <c r="AM519" s="377">
        <f>SUMIFS(Налоги!AL$15:AL$40,Налоги!$A$15:$A$40,$A519,Налоги!$M$15:$M$40,$B519)</f>
        <v>0</v>
      </c>
      <c r="AN519" s="366">
        <f t="shared" si="91"/>
        <v>0</v>
      </c>
      <c r="AO519" s="366">
        <f t="shared" si="102"/>
        <v>0</v>
      </c>
      <c r="AP519" s="366">
        <f t="shared" si="93"/>
        <v>0</v>
      </c>
      <c r="AQ519" s="366">
        <f t="shared" si="94"/>
        <v>0</v>
      </c>
      <c r="AR519" s="366">
        <f t="shared" si="95"/>
        <v>0</v>
      </c>
      <c r="AS519" s="366">
        <f t="shared" si="96"/>
        <v>0</v>
      </c>
      <c r="AT519" s="366">
        <f t="shared" si="97"/>
        <v>0</v>
      </c>
      <c r="AU519" s="366">
        <f t="shared" si="98"/>
        <v>0</v>
      </c>
      <c r="AV519" s="366">
        <f t="shared" si="99"/>
        <v>0</v>
      </c>
      <c r="AW519" s="366">
        <f t="shared" si="100"/>
        <v>0</v>
      </c>
      <c r="AX519" s="179"/>
      <c r="AY519" s="179"/>
      <c r="AZ519" s="179"/>
    </row>
    <row r="520" spans="1:52" s="104" customFormat="1" outlineLevel="1">
      <c r="A520" s="477" t="str">
        <f t="shared" si="105"/>
        <v>1</v>
      </c>
      <c r="B520" s="104" t="s">
        <v>415</v>
      </c>
      <c r="D520" s="104" t="s">
        <v>1582</v>
      </c>
      <c r="L520" s="362" t="s">
        <v>610</v>
      </c>
      <c r="M520" s="369" t="s">
        <v>611</v>
      </c>
      <c r="N520" s="364" t="s">
        <v>352</v>
      </c>
      <c r="O520" s="377">
        <f>SUMIFS(Налоги!O$15:O$40,Налоги!$A$15:$A$40,$A520,Налоги!$M$15:$M$40,$B520)</f>
        <v>0</v>
      </c>
      <c r="P520" s="377">
        <f>SUMIFS(Налоги!P$15:P$40,Налоги!$A$15:$A$40,$A520,Налоги!$M$15:$M$40,$B520)</f>
        <v>0</v>
      </c>
      <c r="Q520" s="377">
        <f>SUMIFS(Налоги!Q$15:Q$40,Налоги!$A$15:$A$40,$A520,Налоги!$M$15:$M$40,$B520)</f>
        <v>0</v>
      </c>
      <c r="R520" s="366">
        <f t="shared" si="104"/>
        <v>0</v>
      </c>
      <c r="S520" s="377">
        <f>SUMIFS(Налоги!R$15:R$40,Налоги!$A$15:$A$40,$A520,Налоги!$M$15:$M$40,$B520)</f>
        <v>0</v>
      </c>
      <c r="T520" s="377">
        <f>SUMIFS(Налоги!S$15:S$40,Налоги!$A$15:$A$40,$A520,Налоги!$M$15:$M$40,$B520)</f>
        <v>0</v>
      </c>
      <c r="U520" s="377">
        <f>SUMIFS(Налоги!T$15:T$40,Налоги!$A$15:$A$40,$A520,Налоги!$M$15:$M$40,$B520)</f>
        <v>0</v>
      </c>
      <c r="V520" s="377">
        <f>SUMIFS(Налоги!U$15:U$40,Налоги!$A$15:$A$40,$A520,Налоги!$M$15:$M$40,$B520)</f>
        <v>0</v>
      </c>
      <c r="W520" s="377">
        <f>SUMIFS(Налоги!V$15:V$40,Налоги!$A$15:$A$40,$A520,Налоги!$M$15:$M$40,$B520)</f>
        <v>0</v>
      </c>
      <c r="X520" s="377">
        <f>SUMIFS(Налоги!W$15:W$40,Налоги!$A$15:$A$40,$A520,Налоги!$M$15:$M$40,$B520)</f>
        <v>0</v>
      </c>
      <c r="Y520" s="377">
        <f>SUMIFS(Налоги!X$15:X$40,Налоги!$A$15:$A$40,$A520,Налоги!$M$15:$M$40,$B520)</f>
        <v>0</v>
      </c>
      <c r="Z520" s="377">
        <f>SUMIFS(Налоги!Y$15:Y$40,Налоги!$A$15:$A$40,$A520,Налоги!$M$15:$M$40,$B520)</f>
        <v>0</v>
      </c>
      <c r="AA520" s="377">
        <f>SUMIFS(Налоги!Z$15:Z$40,Налоги!$A$15:$A$40,$A520,Налоги!$M$15:$M$40,$B520)</f>
        <v>0</v>
      </c>
      <c r="AB520" s="377">
        <f>SUMIFS(Налоги!AA$15:AA$40,Налоги!$A$15:$A$40,$A520,Налоги!$M$15:$M$40,$B520)</f>
        <v>0</v>
      </c>
      <c r="AC520" s="377">
        <f>SUMIFS(Налоги!AB$15:AB$40,Налоги!$A$15:$A$40,$A520,Налоги!$M$15:$M$40,$B520)</f>
        <v>0</v>
      </c>
      <c r="AD520" s="377">
        <f>SUMIFS(Налоги!AC$15:AC$40,Налоги!$A$15:$A$40,$A520,Налоги!$M$15:$M$40,$B520)</f>
        <v>0</v>
      </c>
      <c r="AE520" s="377">
        <f>SUMIFS(Налоги!AD$15:AD$40,Налоги!$A$15:$A$40,$A520,Налоги!$M$15:$M$40,$B520)</f>
        <v>0</v>
      </c>
      <c r="AF520" s="377">
        <f>SUMIFS(Налоги!AE$15:AE$40,Налоги!$A$15:$A$40,$A520,Налоги!$M$15:$M$40,$B520)</f>
        <v>0</v>
      </c>
      <c r="AG520" s="377">
        <f>SUMIFS(Налоги!AF$15:AF$40,Налоги!$A$15:$A$40,$A520,Налоги!$M$15:$M$40,$B520)</f>
        <v>0</v>
      </c>
      <c r="AH520" s="377">
        <f>SUMIFS(Налоги!AG$15:AG$40,Налоги!$A$15:$A$40,$A520,Налоги!$M$15:$M$40,$B520)</f>
        <v>0</v>
      </c>
      <c r="AI520" s="377">
        <f>SUMIFS(Налоги!AH$15:AH$40,Налоги!$A$15:$A$40,$A520,Налоги!$M$15:$M$40,$B520)</f>
        <v>0</v>
      </c>
      <c r="AJ520" s="377">
        <f>SUMIFS(Налоги!AI$15:AI$40,Налоги!$A$15:$A$40,$A520,Налоги!$M$15:$M$40,$B520)</f>
        <v>0</v>
      </c>
      <c r="AK520" s="377">
        <f>SUMIFS(Налоги!AJ$15:AJ$40,Налоги!$A$15:$A$40,$A520,Налоги!$M$15:$M$40,$B520)</f>
        <v>0</v>
      </c>
      <c r="AL520" s="377">
        <f>SUMIFS(Налоги!AK$15:AK$40,Налоги!$A$15:$A$40,$A520,Налоги!$M$15:$M$40,$B520)</f>
        <v>0</v>
      </c>
      <c r="AM520" s="377">
        <f>SUMIFS(Налоги!AL$15:AL$40,Налоги!$A$15:$A$40,$A520,Налоги!$M$15:$M$40,$B520)</f>
        <v>0</v>
      </c>
      <c r="AN520" s="366">
        <f t="shared" si="91"/>
        <v>0</v>
      </c>
      <c r="AO520" s="366">
        <f t="shared" si="102"/>
        <v>0</v>
      </c>
      <c r="AP520" s="366">
        <f t="shared" si="93"/>
        <v>0</v>
      </c>
      <c r="AQ520" s="366">
        <f t="shared" si="94"/>
        <v>0</v>
      </c>
      <c r="AR520" s="366">
        <f t="shared" si="95"/>
        <v>0</v>
      </c>
      <c r="AS520" s="366">
        <f t="shared" si="96"/>
        <v>0</v>
      </c>
      <c r="AT520" s="366">
        <f t="shared" si="97"/>
        <v>0</v>
      </c>
      <c r="AU520" s="366">
        <f t="shared" si="98"/>
        <v>0</v>
      </c>
      <c r="AV520" s="366">
        <f t="shared" si="99"/>
        <v>0</v>
      </c>
      <c r="AW520" s="366">
        <f t="shared" si="100"/>
        <v>0</v>
      </c>
      <c r="AX520" s="179"/>
      <c r="AY520" s="179"/>
      <c r="AZ520" s="179"/>
    </row>
    <row r="521" spans="1:52" s="104" customFormat="1" outlineLevel="1">
      <c r="A521" s="477" t="str">
        <f t="shared" si="105"/>
        <v>1</v>
      </c>
      <c r="B521" s="104" t="s">
        <v>412</v>
      </c>
      <c r="D521" s="104" t="s">
        <v>1583</v>
      </c>
      <c r="L521" s="362" t="s">
        <v>612</v>
      </c>
      <c r="M521" s="369" t="s">
        <v>613</v>
      </c>
      <c r="N521" s="364" t="s">
        <v>352</v>
      </c>
      <c r="O521" s="377">
        <f>SUMIFS(Налоги!O$15:O$40,Налоги!$A$15:$A$40,$A521,Налоги!$M$15:$M$40,$B521)</f>
        <v>0</v>
      </c>
      <c r="P521" s="377">
        <f>SUMIFS(Налоги!P$15:P$40,Налоги!$A$15:$A$40,$A521,Налоги!$M$15:$M$40,$B521)</f>
        <v>0</v>
      </c>
      <c r="Q521" s="377">
        <f>SUMIFS(Налоги!Q$15:Q$40,Налоги!$A$15:$A$40,$A521,Налоги!$M$15:$M$40,$B521)</f>
        <v>0</v>
      </c>
      <c r="R521" s="366">
        <f t="shared" si="104"/>
        <v>0</v>
      </c>
      <c r="S521" s="377">
        <f>SUMIFS(Налоги!R$15:R$40,Налоги!$A$15:$A$40,$A521,Налоги!$M$15:$M$40,$B521)</f>
        <v>0</v>
      </c>
      <c r="T521" s="377">
        <f>SUMIFS(Налоги!S$15:S$40,Налоги!$A$15:$A$40,$A521,Налоги!$M$15:$M$40,$B521)</f>
        <v>0</v>
      </c>
      <c r="U521" s="377">
        <f>SUMIFS(Налоги!T$15:T$40,Налоги!$A$15:$A$40,$A521,Налоги!$M$15:$M$40,$B521)</f>
        <v>0</v>
      </c>
      <c r="V521" s="377">
        <f>SUMIFS(Налоги!U$15:U$40,Налоги!$A$15:$A$40,$A521,Налоги!$M$15:$M$40,$B521)</f>
        <v>0</v>
      </c>
      <c r="W521" s="377">
        <f>SUMIFS(Налоги!V$15:V$40,Налоги!$A$15:$A$40,$A521,Налоги!$M$15:$M$40,$B521)</f>
        <v>0</v>
      </c>
      <c r="X521" s="377">
        <f>SUMIFS(Налоги!W$15:W$40,Налоги!$A$15:$A$40,$A521,Налоги!$M$15:$M$40,$B521)</f>
        <v>0</v>
      </c>
      <c r="Y521" s="377">
        <f>SUMIFS(Налоги!X$15:X$40,Налоги!$A$15:$A$40,$A521,Налоги!$M$15:$M$40,$B521)</f>
        <v>0</v>
      </c>
      <c r="Z521" s="377">
        <f>SUMIFS(Налоги!Y$15:Y$40,Налоги!$A$15:$A$40,$A521,Налоги!$M$15:$M$40,$B521)</f>
        <v>0</v>
      </c>
      <c r="AA521" s="377">
        <f>SUMIFS(Налоги!Z$15:Z$40,Налоги!$A$15:$A$40,$A521,Налоги!$M$15:$M$40,$B521)</f>
        <v>0</v>
      </c>
      <c r="AB521" s="377">
        <f>SUMIFS(Налоги!AA$15:AA$40,Налоги!$A$15:$A$40,$A521,Налоги!$M$15:$M$40,$B521)</f>
        <v>0</v>
      </c>
      <c r="AC521" s="377">
        <f>SUMIFS(Налоги!AB$15:AB$40,Налоги!$A$15:$A$40,$A521,Налоги!$M$15:$M$40,$B521)</f>
        <v>0</v>
      </c>
      <c r="AD521" s="377">
        <f>SUMIFS(Налоги!AC$15:AC$40,Налоги!$A$15:$A$40,$A521,Налоги!$M$15:$M$40,$B521)</f>
        <v>0</v>
      </c>
      <c r="AE521" s="377">
        <f>SUMIFS(Налоги!AD$15:AD$40,Налоги!$A$15:$A$40,$A521,Налоги!$M$15:$M$40,$B521)</f>
        <v>0</v>
      </c>
      <c r="AF521" s="377">
        <f>SUMIFS(Налоги!AE$15:AE$40,Налоги!$A$15:$A$40,$A521,Налоги!$M$15:$M$40,$B521)</f>
        <v>0</v>
      </c>
      <c r="AG521" s="377">
        <f>SUMIFS(Налоги!AF$15:AF$40,Налоги!$A$15:$A$40,$A521,Налоги!$M$15:$M$40,$B521)</f>
        <v>0</v>
      </c>
      <c r="AH521" s="377">
        <f>SUMIFS(Налоги!AG$15:AG$40,Налоги!$A$15:$A$40,$A521,Налоги!$M$15:$M$40,$B521)</f>
        <v>0</v>
      </c>
      <c r="AI521" s="377">
        <f>SUMIFS(Налоги!AH$15:AH$40,Налоги!$A$15:$A$40,$A521,Налоги!$M$15:$M$40,$B521)</f>
        <v>0</v>
      </c>
      <c r="AJ521" s="377">
        <f>SUMIFS(Налоги!AI$15:AI$40,Налоги!$A$15:$A$40,$A521,Налоги!$M$15:$M$40,$B521)</f>
        <v>0</v>
      </c>
      <c r="AK521" s="377">
        <f>SUMIFS(Налоги!AJ$15:AJ$40,Налоги!$A$15:$A$40,$A521,Налоги!$M$15:$M$40,$B521)</f>
        <v>0</v>
      </c>
      <c r="AL521" s="377">
        <f>SUMIFS(Налоги!AK$15:AK$40,Налоги!$A$15:$A$40,$A521,Налоги!$M$15:$M$40,$B521)</f>
        <v>0</v>
      </c>
      <c r="AM521" s="377">
        <f>SUMIFS(Налоги!AL$15:AL$40,Налоги!$A$15:$A$40,$A521,Налоги!$M$15:$M$40,$B521)</f>
        <v>0</v>
      </c>
      <c r="AN521" s="366">
        <f t="shared" si="91"/>
        <v>0</v>
      </c>
      <c r="AO521" s="366">
        <f t="shared" si="102"/>
        <v>0</v>
      </c>
      <c r="AP521" s="366">
        <f t="shared" si="93"/>
        <v>0</v>
      </c>
      <c r="AQ521" s="366">
        <f t="shared" si="94"/>
        <v>0</v>
      </c>
      <c r="AR521" s="366">
        <f t="shared" si="95"/>
        <v>0</v>
      </c>
      <c r="AS521" s="366">
        <f t="shared" si="96"/>
        <v>0</v>
      </c>
      <c r="AT521" s="366">
        <f t="shared" si="97"/>
        <v>0</v>
      </c>
      <c r="AU521" s="366">
        <f t="shared" si="98"/>
        <v>0</v>
      </c>
      <c r="AV521" s="366">
        <f t="shared" si="99"/>
        <v>0</v>
      </c>
      <c r="AW521" s="366">
        <f t="shared" si="100"/>
        <v>0</v>
      </c>
      <c r="AX521" s="179"/>
      <c r="AY521" s="179"/>
      <c r="AZ521" s="179"/>
    </row>
    <row r="522" spans="1:52" s="104" customFormat="1" outlineLevel="1">
      <c r="A522" s="477" t="str">
        <f t="shared" si="105"/>
        <v>1</v>
      </c>
      <c r="B522" s="104" t="s">
        <v>1337</v>
      </c>
      <c r="D522" s="104" t="s">
        <v>1584</v>
      </c>
      <c r="L522" s="362" t="s">
        <v>614</v>
      </c>
      <c r="M522" s="369" t="s">
        <v>615</v>
      </c>
      <c r="N522" s="364" t="s">
        <v>352</v>
      </c>
      <c r="O522" s="365">
        <f>SUMIFS(Налоги!O$15:O$40,Налоги!$A$15:$A$40,$A522,Налоги!$M$15:$M$40,$B522)</f>
        <v>0</v>
      </c>
      <c r="P522" s="365">
        <f>SUMIFS(Налоги!P$15:P$40,Налоги!$A$15:$A$40,$A522,Налоги!$M$15:$M$40,$B522)</f>
        <v>0</v>
      </c>
      <c r="Q522" s="365">
        <f>SUMIFS(Налоги!Q$15:Q$40,Налоги!$A$15:$A$40,$A522,Налоги!$M$15:$M$40,$B522)</f>
        <v>0</v>
      </c>
      <c r="R522" s="366">
        <f t="shared" si="104"/>
        <v>0</v>
      </c>
      <c r="S522" s="365">
        <f>SUMIFS(Налоги!R$15:R$40,Налоги!$A$15:$A$40,$A522,Налоги!$M$15:$M$40,$B522)</f>
        <v>0</v>
      </c>
      <c r="T522" s="365">
        <f>SUMIFS(Налоги!S$15:S$40,Налоги!$A$15:$A$40,$A522,Налоги!$M$15:$M$40,$B522)</f>
        <v>0</v>
      </c>
      <c r="U522" s="365">
        <f>SUMIFS(Налоги!T$15:T$40,Налоги!$A$15:$A$40,$A522,Налоги!$M$15:$M$40,$B522)</f>
        <v>0</v>
      </c>
      <c r="V522" s="365">
        <f>SUMIFS(Налоги!U$15:U$40,Налоги!$A$15:$A$40,$A522,Налоги!$M$15:$M$40,$B522)</f>
        <v>0</v>
      </c>
      <c r="W522" s="365">
        <f>SUMIFS(Налоги!V$15:V$40,Налоги!$A$15:$A$40,$A522,Налоги!$M$15:$M$40,$B522)</f>
        <v>0</v>
      </c>
      <c r="X522" s="365">
        <f>SUMIFS(Налоги!W$15:W$40,Налоги!$A$15:$A$40,$A522,Налоги!$M$15:$M$40,$B522)</f>
        <v>0</v>
      </c>
      <c r="Y522" s="365">
        <f>SUMIFS(Налоги!X$15:X$40,Налоги!$A$15:$A$40,$A522,Налоги!$M$15:$M$40,$B522)</f>
        <v>0</v>
      </c>
      <c r="Z522" s="365">
        <f>SUMIFS(Налоги!Y$15:Y$40,Налоги!$A$15:$A$40,$A522,Налоги!$M$15:$M$40,$B522)</f>
        <v>0</v>
      </c>
      <c r="AA522" s="365">
        <f>SUMIFS(Налоги!Z$15:Z$40,Налоги!$A$15:$A$40,$A522,Налоги!$M$15:$M$40,$B522)</f>
        <v>0</v>
      </c>
      <c r="AB522" s="365">
        <f>SUMIFS(Налоги!AA$15:AA$40,Налоги!$A$15:$A$40,$A522,Налоги!$M$15:$M$40,$B522)</f>
        <v>0</v>
      </c>
      <c r="AC522" s="365">
        <f>SUMIFS(Налоги!AB$15:AB$40,Налоги!$A$15:$A$40,$A522,Налоги!$M$15:$M$40,$B522)</f>
        <v>0</v>
      </c>
      <c r="AD522" s="365">
        <f>SUMIFS(Налоги!AC$15:AC$40,Налоги!$A$15:$A$40,$A522,Налоги!$M$15:$M$40,$B522)</f>
        <v>0</v>
      </c>
      <c r="AE522" s="365">
        <f>SUMIFS(Налоги!AD$15:AD$40,Налоги!$A$15:$A$40,$A522,Налоги!$M$15:$M$40,$B522)</f>
        <v>0</v>
      </c>
      <c r="AF522" s="365">
        <f>SUMIFS(Налоги!AE$15:AE$40,Налоги!$A$15:$A$40,$A522,Налоги!$M$15:$M$40,$B522)</f>
        <v>0</v>
      </c>
      <c r="AG522" s="365">
        <f>SUMIFS(Налоги!AF$15:AF$40,Налоги!$A$15:$A$40,$A522,Налоги!$M$15:$M$40,$B522)</f>
        <v>0</v>
      </c>
      <c r="AH522" s="365">
        <f>SUMIFS(Налоги!AG$15:AG$40,Налоги!$A$15:$A$40,$A522,Налоги!$M$15:$M$40,$B522)</f>
        <v>0</v>
      </c>
      <c r="AI522" s="365">
        <f>SUMIFS(Налоги!AH$15:AH$40,Налоги!$A$15:$A$40,$A522,Налоги!$M$15:$M$40,$B522)</f>
        <v>0</v>
      </c>
      <c r="AJ522" s="365">
        <f>SUMIFS(Налоги!AI$15:AI$40,Налоги!$A$15:$A$40,$A522,Налоги!$M$15:$M$40,$B522)</f>
        <v>0</v>
      </c>
      <c r="AK522" s="365">
        <f>SUMIFS(Налоги!AJ$15:AJ$40,Налоги!$A$15:$A$40,$A522,Налоги!$M$15:$M$40,$B522)</f>
        <v>0</v>
      </c>
      <c r="AL522" s="365">
        <f>SUMIFS(Налоги!AK$15:AK$40,Налоги!$A$15:$A$40,$A522,Налоги!$M$15:$M$40,$B522)</f>
        <v>0</v>
      </c>
      <c r="AM522" s="365">
        <f>SUMIFS(Налоги!AL$15:AL$40,Налоги!$A$15:$A$40,$A522,Налоги!$M$15:$M$40,$B522)</f>
        <v>0</v>
      </c>
      <c r="AN522" s="366">
        <f t="shared" si="91"/>
        <v>0</v>
      </c>
      <c r="AO522" s="366">
        <f t="shared" si="102"/>
        <v>0</v>
      </c>
      <c r="AP522" s="366">
        <f t="shared" si="93"/>
        <v>0</v>
      </c>
      <c r="AQ522" s="366">
        <f t="shared" si="94"/>
        <v>0</v>
      </c>
      <c r="AR522" s="366">
        <f t="shared" si="95"/>
        <v>0</v>
      </c>
      <c r="AS522" s="366">
        <f t="shared" si="96"/>
        <v>0</v>
      </c>
      <c r="AT522" s="366">
        <f t="shared" si="97"/>
        <v>0</v>
      </c>
      <c r="AU522" s="366">
        <f t="shared" si="98"/>
        <v>0</v>
      </c>
      <c r="AV522" s="366">
        <f t="shared" si="99"/>
        <v>0</v>
      </c>
      <c r="AW522" s="366">
        <f t="shared" si="100"/>
        <v>0</v>
      </c>
      <c r="AX522" s="179"/>
      <c r="AY522" s="179"/>
      <c r="AZ522" s="179"/>
    </row>
    <row r="523" spans="1:52" s="104" customFormat="1" outlineLevel="1">
      <c r="A523" s="477" t="str">
        <f t="shared" si="105"/>
        <v>1</v>
      </c>
      <c r="B523" s="104" t="s">
        <v>1338</v>
      </c>
      <c r="D523" s="104" t="s">
        <v>1585</v>
      </c>
      <c r="L523" s="362" t="s">
        <v>616</v>
      </c>
      <c r="M523" s="369" t="s">
        <v>617</v>
      </c>
      <c r="N523" s="364" t="s">
        <v>352</v>
      </c>
      <c r="O523" s="377">
        <f>SUMIFS(Налоги!O$15:O$40,Налоги!$A$15:$A$40,$A523,Налоги!$M$15:$M$40,$B523)</f>
        <v>0</v>
      </c>
      <c r="P523" s="377">
        <f>SUMIFS(Налоги!P$15:P$40,Налоги!$A$15:$A$40,$A523,Налоги!$M$15:$M$40,$B523)</f>
        <v>0</v>
      </c>
      <c r="Q523" s="377">
        <f>SUMIFS(Налоги!Q$15:Q$40,Налоги!$A$15:$A$40,$A523,Налоги!$M$15:$M$40,$B523)</f>
        <v>0</v>
      </c>
      <c r="R523" s="366">
        <f>Q523-P523</f>
        <v>0</v>
      </c>
      <c r="S523" s="377">
        <f>SUMIFS(Налоги!R$15:R$40,Налоги!$A$15:$A$40,$A523,Налоги!$M$15:$M$40,$B523)</f>
        <v>0</v>
      </c>
      <c r="T523" s="377">
        <f>SUMIFS(Налоги!S$15:S$40,Налоги!$A$15:$A$40,$A523,Налоги!$M$15:$M$40,$B523)</f>
        <v>0</v>
      </c>
      <c r="U523" s="377">
        <f>SUMIFS(Налоги!T$15:T$40,Налоги!$A$15:$A$40,$A523,Налоги!$M$15:$M$40,$B523)</f>
        <v>0</v>
      </c>
      <c r="V523" s="377">
        <f>SUMIFS(Налоги!U$15:U$40,Налоги!$A$15:$A$40,$A523,Налоги!$M$15:$M$40,$B523)</f>
        <v>0</v>
      </c>
      <c r="W523" s="377">
        <f>SUMIFS(Налоги!V$15:V$40,Налоги!$A$15:$A$40,$A523,Налоги!$M$15:$M$40,$B523)</f>
        <v>0</v>
      </c>
      <c r="X523" s="377">
        <f>SUMIFS(Налоги!W$15:W$40,Налоги!$A$15:$A$40,$A523,Налоги!$M$15:$M$40,$B523)</f>
        <v>0</v>
      </c>
      <c r="Y523" s="377">
        <f>SUMIFS(Налоги!X$15:X$40,Налоги!$A$15:$A$40,$A523,Налоги!$M$15:$M$40,$B523)</f>
        <v>0</v>
      </c>
      <c r="Z523" s="377">
        <f>SUMIFS(Налоги!Y$15:Y$40,Налоги!$A$15:$A$40,$A523,Налоги!$M$15:$M$40,$B523)</f>
        <v>0</v>
      </c>
      <c r="AA523" s="377">
        <f>SUMIFS(Налоги!Z$15:Z$40,Налоги!$A$15:$A$40,$A523,Налоги!$M$15:$M$40,$B523)</f>
        <v>0</v>
      </c>
      <c r="AB523" s="377">
        <f>SUMIFS(Налоги!AA$15:AA$40,Налоги!$A$15:$A$40,$A523,Налоги!$M$15:$M$40,$B523)</f>
        <v>0</v>
      </c>
      <c r="AC523" s="377">
        <f>SUMIFS(Налоги!AB$15:AB$40,Налоги!$A$15:$A$40,$A523,Налоги!$M$15:$M$40,$B523)</f>
        <v>0</v>
      </c>
      <c r="AD523" s="377">
        <f>SUMIFS(Налоги!AC$15:AC$40,Налоги!$A$15:$A$40,$A523,Налоги!$M$15:$M$40,$B523)</f>
        <v>0</v>
      </c>
      <c r="AE523" s="377">
        <f>SUMIFS(Налоги!AD$15:AD$40,Налоги!$A$15:$A$40,$A523,Налоги!$M$15:$M$40,$B523)</f>
        <v>0</v>
      </c>
      <c r="AF523" s="377">
        <f>SUMIFS(Налоги!AE$15:AE$40,Налоги!$A$15:$A$40,$A523,Налоги!$M$15:$M$40,$B523)</f>
        <v>0</v>
      </c>
      <c r="AG523" s="377">
        <f>SUMIFS(Налоги!AF$15:AF$40,Налоги!$A$15:$A$40,$A523,Налоги!$M$15:$M$40,$B523)</f>
        <v>0</v>
      </c>
      <c r="AH523" s="377">
        <f>SUMIFS(Налоги!AG$15:AG$40,Налоги!$A$15:$A$40,$A523,Налоги!$M$15:$M$40,$B523)</f>
        <v>0</v>
      </c>
      <c r="AI523" s="377">
        <f>SUMIFS(Налоги!AH$15:AH$40,Налоги!$A$15:$A$40,$A523,Налоги!$M$15:$M$40,$B523)</f>
        <v>0</v>
      </c>
      <c r="AJ523" s="377">
        <f>SUMIFS(Налоги!AI$15:AI$40,Налоги!$A$15:$A$40,$A523,Налоги!$M$15:$M$40,$B523)</f>
        <v>0</v>
      </c>
      <c r="AK523" s="377">
        <f>SUMIFS(Налоги!AJ$15:AJ$40,Налоги!$A$15:$A$40,$A523,Налоги!$M$15:$M$40,$B523)</f>
        <v>0</v>
      </c>
      <c r="AL523" s="377">
        <f>SUMIFS(Налоги!AK$15:AK$40,Налоги!$A$15:$A$40,$A523,Налоги!$M$15:$M$40,$B523)</f>
        <v>0</v>
      </c>
      <c r="AM523" s="377">
        <f>SUMIFS(Налоги!AL$15:AL$40,Налоги!$A$15:$A$40,$A523,Налоги!$M$15:$M$40,$B523)</f>
        <v>0</v>
      </c>
      <c r="AN523" s="366">
        <f t="shared" si="91"/>
        <v>0</v>
      </c>
      <c r="AO523" s="366">
        <f t="shared" si="102"/>
        <v>0</v>
      </c>
      <c r="AP523" s="366">
        <f t="shared" si="93"/>
        <v>0</v>
      </c>
      <c r="AQ523" s="366">
        <f t="shared" si="94"/>
        <v>0</v>
      </c>
      <c r="AR523" s="366">
        <f t="shared" si="95"/>
        <v>0</v>
      </c>
      <c r="AS523" s="366">
        <f t="shared" si="96"/>
        <v>0</v>
      </c>
      <c r="AT523" s="366">
        <f t="shared" si="97"/>
        <v>0</v>
      </c>
      <c r="AU523" s="366">
        <f t="shared" si="98"/>
        <v>0</v>
      </c>
      <c r="AV523" s="366">
        <f t="shared" si="99"/>
        <v>0</v>
      </c>
      <c r="AW523" s="366">
        <f t="shared" si="100"/>
        <v>0</v>
      </c>
      <c r="AX523" s="179"/>
      <c r="AY523" s="179"/>
      <c r="AZ523" s="179"/>
    </row>
    <row r="524" spans="1:52" s="104" customFormat="1" outlineLevel="1">
      <c r="A524" s="477" t="str">
        <f t="shared" si="105"/>
        <v>1</v>
      </c>
      <c r="B524" s="104" t="s">
        <v>416</v>
      </c>
      <c r="D524" s="104" t="s">
        <v>1586</v>
      </c>
      <c r="L524" s="362" t="s">
        <v>618</v>
      </c>
      <c r="M524" s="378" t="s">
        <v>1133</v>
      </c>
      <c r="N524" s="364" t="s">
        <v>352</v>
      </c>
      <c r="O524" s="377">
        <f>SUMIFS(Налоги!O$15:O$40,Налоги!$A$15:$A$40,$A524,Налоги!$M$15:$M$40,$B524)</f>
        <v>0</v>
      </c>
      <c r="P524" s="377">
        <f>SUMIFS(Налоги!P$15:P$40,Налоги!$A$15:$A$40,$A524,Налоги!$M$15:$M$40,$B524)</f>
        <v>0</v>
      </c>
      <c r="Q524" s="377">
        <f>SUMIFS(Налоги!Q$15:Q$40,Налоги!$A$15:$A$40,$A524,Налоги!$M$15:$M$40,$B524)</f>
        <v>0</v>
      </c>
      <c r="R524" s="366">
        <f t="shared" si="104"/>
        <v>0</v>
      </c>
      <c r="S524" s="377">
        <f>SUMIFS(Налоги!R$15:R$40,Налоги!$A$15:$A$40,$A524,Налоги!$M$15:$M$40,$B524)</f>
        <v>0</v>
      </c>
      <c r="T524" s="377">
        <f>SUMIFS(Налоги!S$15:S$40,Налоги!$A$15:$A$40,$A524,Налоги!$M$15:$M$40,$B524)</f>
        <v>0</v>
      </c>
      <c r="U524" s="377">
        <f>SUMIFS(Налоги!T$15:T$40,Налоги!$A$15:$A$40,$A524,Налоги!$M$15:$M$40,$B524)</f>
        <v>0</v>
      </c>
      <c r="V524" s="377">
        <f>SUMIFS(Налоги!U$15:U$40,Налоги!$A$15:$A$40,$A524,Налоги!$M$15:$M$40,$B524)</f>
        <v>0</v>
      </c>
      <c r="W524" s="377">
        <f>SUMIFS(Налоги!V$15:V$40,Налоги!$A$15:$A$40,$A524,Налоги!$M$15:$M$40,$B524)</f>
        <v>0</v>
      </c>
      <c r="X524" s="377">
        <f>SUMIFS(Налоги!W$15:W$40,Налоги!$A$15:$A$40,$A524,Налоги!$M$15:$M$40,$B524)</f>
        <v>0</v>
      </c>
      <c r="Y524" s="377">
        <f>SUMIFS(Налоги!X$15:X$40,Налоги!$A$15:$A$40,$A524,Налоги!$M$15:$M$40,$B524)</f>
        <v>0</v>
      </c>
      <c r="Z524" s="377">
        <f>SUMIFS(Налоги!Y$15:Y$40,Налоги!$A$15:$A$40,$A524,Налоги!$M$15:$M$40,$B524)</f>
        <v>0</v>
      </c>
      <c r="AA524" s="377">
        <f>SUMIFS(Налоги!Z$15:Z$40,Налоги!$A$15:$A$40,$A524,Налоги!$M$15:$M$40,$B524)</f>
        <v>0</v>
      </c>
      <c r="AB524" s="377">
        <f>SUMIFS(Налоги!AA$15:AA$40,Налоги!$A$15:$A$40,$A524,Налоги!$M$15:$M$40,$B524)</f>
        <v>0</v>
      </c>
      <c r="AC524" s="377">
        <f>SUMIFS(Налоги!AB$15:AB$40,Налоги!$A$15:$A$40,$A524,Налоги!$M$15:$M$40,$B524)</f>
        <v>0</v>
      </c>
      <c r="AD524" s="377">
        <f>SUMIFS(Налоги!AC$15:AC$40,Налоги!$A$15:$A$40,$A524,Налоги!$M$15:$M$40,$B524)</f>
        <v>0</v>
      </c>
      <c r="AE524" s="377">
        <f>SUMIFS(Налоги!AD$15:AD$40,Налоги!$A$15:$A$40,$A524,Налоги!$M$15:$M$40,$B524)</f>
        <v>0</v>
      </c>
      <c r="AF524" s="377">
        <f>SUMIFS(Налоги!AE$15:AE$40,Налоги!$A$15:$A$40,$A524,Налоги!$M$15:$M$40,$B524)</f>
        <v>0</v>
      </c>
      <c r="AG524" s="377">
        <f>SUMIFS(Налоги!AF$15:AF$40,Налоги!$A$15:$A$40,$A524,Налоги!$M$15:$M$40,$B524)</f>
        <v>0</v>
      </c>
      <c r="AH524" s="377">
        <f>SUMIFS(Налоги!AG$15:AG$40,Налоги!$A$15:$A$40,$A524,Налоги!$M$15:$M$40,$B524)</f>
        <v>0</v>
      </c>
      <c r="AI524" s="377">
        <f>SUMIFS(Налоги!AH$15:AH$40,Налоги!$A$15:$A$40,$A524,Налоги!$M$15:$M$40,$B524)</f>
        <v>0</v>
      </c>
      <c r="AJ524" s="377">
        <f>SUMIFS(Налоги!AI$15:AI$40,Налоги!$A$15:$A$40,$A524,Налоги!$M$15:$M$40,$B524)</f>
        <v>0</v>
      </c>
      <c r="AK524" s="377">
        <f>SUMIFS(Налоги!AJ$15:AJ$40,Налоги!$A$15:$A$40,$A524,Налоги!$M$15:$M$40,$B524)</f>
        <v>0</v>
      </c>
      <c r="AL524" s="377">
        <f>SUMIFS(Налоги!AK$15:AK$40,Налоги!$A$15:$A$40,$A524,Налоги!$M$15:$M$40,$B524)</f>
        <v>0</v>
      </c>
      <c r="AM524" s="377">
        <f>SUMIFS(Налоги!AL$15:AL$40,Налоги!$A$15:$A$40,$A524,Налоги!$M$15:$M$40,$B524)</f>
        <v>0</v>
      </c>
      <c r="AN524" s="366">
        <f t="shared" si="91"/>
        <v>0</v>
      </c>
      <c r="AO524" s="366">
        <f t="shared" si="102"/>
        <v>0</v>
      </c>
      <c r="AP524" s="366">
        <f t="shared" si="93"/>
        <v>0</v>
      </c>
      <c r="AQ524" s="366">
        <f t="shared" si="94"/>
        <v>0</v>
      </c>
      <c r="AR524" s="366">
        <f t="shared" si="95"/>
        <v>0</v>
      </c>
      <c r="AS524" s="366">
        <f t="shared" si="96"/>
        <v>0</v>
      </c>
      <c r="AT524" s="366">
        <f t="shared" si="97"/>
        <v>0</v>
      </c>
      <c r="AU524" s="366">
        <f t="shared" si="98"/>
        <v>0</v>
      </c>
      <c r="AV524" s="366">
        <f t="shared" si="99"/>
        <v>0</v>
      </c>
      <c r="AW524" s="366">
        <f t="shared" si="100"/>
        <v>0</v>
      </c>
      <c r="AX524" s="179"/>
      <c r="AY524" s="179"/>
      <c r="AZ524" s="179"/>
    </row>
    <row r="525" spans="1:52" s="104" customFormat="1" ht="79.8" outlineLevel="1">
      <c r="A525" s="477" t="str">
        <f t="shared" si="105"/>
        <v>1</v>
      </c>
      <c r="B525" s="104" t="s">
        <v>1361</v>
      </c>
      <c r="D525" s="104" t="s">
        <v>1587</v>
      </c>
      <c r="L525" s="362" t="s">
        <v>153</v>
      </c>
      <c r="M525" s="379" t="s">
        <v>466</v>
      </c>
      <c r="N525" s="364" t="s">
        <v>352</v>
      </c>
      <c r="O525" s="380"/>
      <c r="P525" s="380"/>
      <c r="Q525" s="380"/>
      <c r="R525" s="366">
        <f t="shared" ref="R525:R570" si="106">Q525-P525</f>
        <v>0</v>
      </c>
      <c r="S525" s="380"/>
      <c r="T525" s="380"/>
      <c r="U525" s="380"/>
      <c r="V525" s="380"/>
      <c r="W525" s="380"/>
      <c r="X525" s="380"/>
      <c r="Y525" s="380"/>
      <c r="Z525" s="380"/>
      <c r="AA525" s="380"/>
      <c r="AB525" s="380"/>
      <c r="AC525" s="380"/>
      <c r="AD525" s="380"/>
      <c r="AE525" s="380"/>
      <c r="AF525" s="380"/>
      <c r="AG525" s="380"/>
      <c r="AH525" s="380"/>
      <c r="AI525" s="380"/>
      <c r="AJ525" s="380"/>
      <c r="AK525" s="380"/>
      <c r="AL525" s="380"/>
      <c r="AM525" s="380"/>
      <c r="AN525" s="366">
        <f t="shared" si="91"/>
        <v>0</v>
      </c>
      <c r="AO525" s="366">
        <f t="shared" si="102"/>
        <v>0</v>
      </c>
      <c r="AP525" s="366">
        <f t="shared" si="93"/>
        <v>0</v>
      </c>
      <c r="AQ525" s="366">
        <f t="shared" si="94"/>
        <v>0</v>
      </c>
      <c r="AR525" s="366">
        <f t="shared" si="95"/>
        <v>0</v>
      </c>
      <c r="AS525" s="366">
        <f t="shared" si="96"/>
        <v>0</v>
      </c>
      <c r="AT525" s="366">
        <f t="shared" si="97"/>
        <v>0</v>
      </c>
      <c r="AU525" s="366">
        <f t="shared" si="98"/>
        <v>0</v>
      </c>
      <c r="AV525" s="366">
        <f t="shared" si="99"/>
        <v>0</v>
      </c>
      <c r="AW525" s="366">
        <f t="shared" si="100"/>
        <v>0</v>
      </c>
      <c r="AX525" s="179"/>
      <c r="AY525" s="179"/>
      <c r="AZ525" s="179"/>
    </row>
    <row r="526" spans="1:52" s="104" customFormat="1" outlineLevel="1">
      <c r="A526" s="477" t="str">
        <f t="shared" si="105"/>
        <v>1</v>
      </c>
      <c r="B526" s="104" t="s">
        <v>619</v>
      </c>
      <c r="D526" s="104" t="s">
        <v>1588</v>
      </c>
      <c r="L526" s="362" t="s">
        <v>367</v>
      </c>
      <c r="M526" s="363" t="s">
        <v>619</v>
      </c>
      <c r="N526" s="364" t="s">
        <v>352</v>
      </c>
      <c r="O526" s="377">
        <f>SUMIFS(Аренда!O$15:O$32,Аренда!$A$15:$A$32,$A526,Аренда!$M$15:$M$32,"Арендная и концессионная плата. Лизинговые платежи")</f>
        <v>0</v>
      </c>
      <c r="P526" s="377">
        <f>SUMIFS(Аренда!P$15:P$32,Аренда!$A$15:$A$32,$A526,Аренда!$M$15:$M$32,"Арендная и концессионная плата. Лизинговые платежи")</f>
        <v>0</v>
      </c>
      <c r="Q526" s="377">
        <f>SUMIFS(Аренда!Q$15:Q$32,Аренда!$A$15:$A$32,$A526,Аренда!$M$15:$M$32,"Арендная и концессионная плата. Лизинговые платежи")</f>
        <v>0</v>
      </c>
      <c r="R526" s="366">
        <f t="shared" si="106"/>
        <v>0</v>
      </c>
      <c r="S526" s="377">
        <f>SUMIFS(Аренда!R$15:R$32,Аренда!$A$15:$A$32,$A526,Аренда!$M$15:$M$32,"Арендная и концессионная плата. Лизинговые платежи")</f>
        <v>0</v>
      </c>
      <c r="T526" s="377">
        <f>SUMIFS(Аренда!S$15:S$32,Аренда!$A$15:$A$32,$A526,Аренда!$M$15:$M$32,"Арендная и концессионная плата. Лизинговые платежи")</f>
        <v>0</v>
      </c>
      <c r="U526" s="377">
        <f>SUMIFS(Аренда!T$15:T$32,Аренда!$A$15:$A$32,$A526,Аренда!$M$15:$M$32,"Арендная и концессионная плата. Лизинговые платежи")</f>
        <v>0</v>
      </c>
      <c r="V526" s="377">
        <f>SUMIFS(Аренда!U$15:U$32,Аренда!$A$15:$A$32,$A526,Аренда!$M$15:$M$32,"Арендная и концессионная плата. Лизинговые платежи")</f>
        <v>0</v>
      </c>
      <c r="W526" s="377">
        <f>SUMIFS(Аренда!V$15:V$32,Аренда!$A$15:$A$32,$A526,Аренда!$M$15:$M$32,"Арендная и концессионная плата. Лизинговые платежи")</f>
        <v>0</v>
      </c>
      <c r="X526" s="377">
        <f>SUMIFS(Аренда!W$15:W$32,Аренда!$A$15:$A$32,$A526,Аренда!$M$15:$M$32,"Арендная и концессионная плата. Лизинговые платежи")</f>
        <v>0</v>
      </c>
      <c r="Y526" s="377">
        <f>SUMIFS(Аренда!X$15:X$32,Аренда!$A$15:$A$32,$A526,Аренда!$M$15:$M$32,"Арендная и концессионная плата. Лизинговые платежи")</f>
        <v>0</v>
      </c>
      <c r="Z526" s="377">
        <f>SUMIFS(Аренда!Y$15:Y$32,Аренда!$A$15:$A$32,$A526,Аренда!$M$15:$M$32,"Арендная и концессионная плата. Лизинговые платежи")</f>
        <v>0</v>
      </c>
      <c r="AA526" s="377">
        <f>SUMIFS(Аренда!Z$15:Z$32,Аренда!$A$15:$A$32,$A526,Аренда!$M$15:$M$32,"Арендная и концессионная плата. Лизинговые платежи")</f>
        <v>0</v>
      </c>
      <c r="AB526" s="377">
        <f>SUMIFS(Аренда!AA$15:AA$32,Аренда!$A$15:$A$32,$A526,Аренда!$M$15:$M$32,"Арендная и концессионная плата. Лизинговые платежи")</f>
        <v>0</v>
      </c>
      <c r="AC526" s="377">
        <f>SUMIFS(Аренда!AB$15:AB$32,Аренда!$A$15:$A$32,$A526,Аренда!$M$15:$M$32,"Арендная и концессионная плата. Лизинговые платежи")</f>
        <v>0</v>
      </c>
      <c r="AD526" s="377">
        <f>SUMIFS(Аренда!AC$15:AC$32,Аренда!$A$15:$A$32,$A526,Аренда!$M$15:$M$32,"Арендная и концессионная плата. Лизинговые платежи")</f>
        <v>0</v>
      </c>
      <c r="AE526" s="377">
        <f>SUMIFS(Аренда!AD$15:AD$32,Аренда!$A$15:$A$32,$A526,Аренда!$M$15:$M$32,"Арендная и концессионная плата. Лизинговые платежи")</f>
        <v>0</v>
      </c>
      <c r="AF526" s="377">
        <f>SUMIFS(Аренда!AE$15:AE$32,Аренда!$A$15:$A$32,$A526,Аренда!$M$15:$M$32,"Арендная и концессионная плата. Лизинговые платежи")</f>
        <v>0</v>
      </c>
      <c r="AG526" s="377">
        <f>SUMIFS(Аренда!AF$15:AF$32,Аренда!$A$15:$A$32,$A526,Аренда!$M$15:$M$32,"Арендная и концессионная плата. Лизинговые платежи")</f>
        <v>0</v>
      </c>
      <c r="AH526" s="377">
        <f>SUMIFS(Аренда!AG$15:AG$32,Аренда!$A$15:$A$32,$A526,Аренда!$M$15:$M$32,"Арендная и концессионная плата. Лизинговые платежи")</f>
        <v>0</v>
      </c>
      <c r="AI526" s="377">
        <f>SUMIFS(Аренда!AH$15:AH$32,Аренда!$A$15:$A$32,$A526,Аренда!$M$15:$M$32,"Арендная и концессионная плата. Лизинговые платежи")</f>
        <v>0</v>
      </c>
      <c r="AJ526" s="377">
        <f>SUMIFS(Аренда!AI$15:AI$32,Аренда!$A$15:$A$32,$A526,Аренда!$M$15:$M$32,"Арендная и концессионная плата. Лизинговые платежи")</f>
        <v>0</v>
      </c>
      <c r="AK526" s="377">
        <f>SUMIFS(Аренда!AJ$15:AJ$32,Аренда!$A$15:$A$32,$A526,Аренда!$M$15:$M$32,"Арендная и концессионная плата. Лизинговые платежи")</f>
        <v>0</v>
      </c>
      <c r="AL526" s="377">
        <f>SUMIFS(Аренда!AK$15:AK$32,Аренда!$A$15:$A$32,$A526,Аренда!$M$15:$M$32,"Арендная и концессионная плата. Лизинговые платежи")</f>
        <v>0</v>
      </c>
      <c r="AM526" s="377">
        <f>SUMIFS(Аренда!AL$15:AL$32,Аренда!$A$15:$A$32,$A526,Аренда!$M$15:$M$32,"Арендная и концессионная плата. Лизинговые платежи")</f>
        <v>0</v>
      </c>
      <c r="AN526" s="366">
        <f t="shared" si="91"/>
        <v>0</v>
      </c>
      <c r="AO526" s="366">
        <f t="shared" si="102"/>
        <v>0</v>
      </c>
      <c r="AP526" s="366">
        <f t="shared" si="93"/>
        <v>0</v>
      </c>
      <c r="AQ526" s="366">
        <f t="shared" si="94"/>
        <v>0</v>
      </c>
      <c r="AR526" s="366">
        <f t="shared" si="95"/>
        <v>0</v>
      </c>
      <c r="AS526" s="366">
        <f t="shared" si="96"/>
        <v>0</v>
      </c>
      <c r="AT526" s="366">
        <f t="shared" si="97"/>
        <v>0</v>
      </c>
      <c r="AU526" s="366">
        <f t="shared" si="98"/>
        <v>0</v>
      </c>
      <c r="AV526" s="366">
        <f t="shared" si="99"/>
        <v>0</v>
      </c>
      <c r="AW526" s="366">
        <f t="shared" si="100"/>
        <v>0</v>
      </c>
      <c r="AX526" s="179"/>
      <c r="AY526" s="179"/>
      <c r="AZ526" s="179"/>
    </row>
    <row r="527" spans="1:52" s="104" customFormat="1" outlineLevel="1">
      <c r="A527" s="477" t="str">
        <f t="shared" si="105"/>
        <v>1</v>
      </c>
      <c r="D527" s="104" t="s">
        <v>1589</v>
      </c>
      <c r="L527" s="362" t="s">
        <v>492</v>
      </c>
      <c r="M527" s="363" t="s">
        <v>620</v>
      </c>
      <c r="N527" s="364" t="s">
        <v>352</v>
      </c>
      <c r="O527" s="365"/>
      <c r="P527" s="365"/>
      <c r="Q527" s="365"/>
      <c r="R527" s="366">
        <f>Q527-P527</f>
        <v>0</v>
      </c>
      <c r="S527" s="365"/>
      <c r="T527" s="365"/>
      <c r="U527" s="365"/>
      <c r="V527" s="365"/>
      <c r="W527" s="365"/>
      <c r="X527" s="365"/>
      <c r="Y527" s="365"/>
      <c r="Z527" s="365"/>
      <c r="AA527" s="365"/>
      <c r="AB527" s="365"/>
      <c r="AC527" s="365"/>
      <c r="AD527" s="365"/>
      <c r="AE527" s="365"/>
      <c r="AF527" s="365"/>
      <c r="AG527" s="365"/>
      <c r="AH527" s="365"/>
      <c r="AI527" s="365"/>
      <c r="AJ527" s="365"/>
      <c r="AK527" s="365"/>
      <c r="AL527" s="365"/>
      <c r="AM527" s="365"/>
      <c r="AN527" s="366">
        <f t="shared" si="91"/>
        <v>0</v>
      </c>
      <c r="AO527" s="366">
        <f t="shared" si="102"/>
        <v>0</v>
      </c>
      <c r="AP527" s="366">
        <f t="shared" si="93"/>
        <v>0</v>
      </c>
      <c r="AQ527" s="366">
        <f t="shared" si="94"/>
        <v>0</v>
      </c>
      <c r="AR527" s="366">
        <f t="shared" si="95"/>
        <v>0</v>
      </c>
      <c r="AS527" s="366">
        <f t="shared" si="96"/>
        <v>0</v>
      </c>
      <c r="AT527" s="366">
        <f t="shared" si="97"/>
        <v>0</v>
      </c>
      <c r="AU527" s="366">
        <f t="shared" si="98"/>
        <v>0</v>
      </c>
      <c r="AV527" s="366">
        <f t="shared" si="99"/>
        <v>0</v>
      </c>
      <c r="AW527" s="366">
        <f t="shared" si="100"/>
        <v>0</v>
      </c>
      <c r="AX527" s="179"/>
      <c r="AY527" s="179"/>
      <c r="AZ527" s="179"/>
    </row>
    <row r="528" spans="1:52" s="104" customFormat="1" ht="22.8" outlineLevel="1">
      <c r="A528" s="477" t="str">
        <f t="shared" si="105"/>
        <v>1</v>
      </c>
      <c r="B528" s="104" t="s">
        <v>622</v>
      </c>
      <c r="D528" s="104" t="s">
        <v>1590</v>
      </c>
      <c r="L528" s="362" t="s">
        <v>621</v>
      </c>
      <c r="M528" s="369" t="s">
        <v>622</v>
      </c>
      <c r="N528" s="364" t="s">
        <v>352</v>
      </c>
      <c r="O528" s="365"/>
      <c r="P528" s="365"/>
      <c r="Q528" s="365"/>
      <c r="R528" s="366">
        <f t="shared" si="106"/>
        <v>0</v>
      </c>
      <c r="S528" s="365"/>
      <c r="T528" s="365"/>
      <c r="U528" s="365"/>
      <c r="V528" s="365"/>
      <c r="W528" s="365"/>
      <c r="X528" s="365"/>
      <c r="Y528" s="365"/>
      <c r="Z528" s="365"/>
      <c r="AA528" s="365"/>
      <c r="AB528" s="365"/>
      <c r="AC528" s="365"/>
      <c r="AD528" s="365"/>
      <c r="AE528" s="365"/>
      <c r="AF528" s="365"/>
      <c r="AG528" s="365"/>
      <c r="AH528" s="365"/>
      <c r="AI528" s="365"/>
      <c r="AJ528" s="365"/>
      <c r="AK528" s="365"/>
      <c r="AL528" s="365"/>
      <c r="AM528" s="365"/>
      <c r="AN528" s="366">
        <f t="shared" si="91"/>
        <v>0</v>
      </c>
      <c r="AO528" s="366">
        <f t="shared" si="102"/>
        <v>0</v>
      </c>
      <c r="AP528" s="366">
        <f t="shared" si="93"/>
        <v>0</v>
      </c>
      <c r="AQ528" s="366">
        <f t="shared" si="94"/>
        <v>0</v>
      </c>
      <c r="AR528" s="366">
        <f t="shared" si="95"/>
        <v>0</v>
      </c>
      <c r="AS528" s="366">
        <f t="shared" si="96"/>
        <v>0</v>
      </c>
      <c r="AT528" s="366">
        <f t="shared" si="97"/>
        <v>0</v>
      </c>
      <c r="AU528" s="366">
        <f t="shared" si="98"/>
        <v>0</v>
      </c>
      <c r="AV528" s="366">
        <f t="shared" si="99"/>
        <v>0</v>
      </c>
      <c r="AW528" s="366">
        <f t="shared" si="100"/>
        <v>0</v>
      </c>
      <c r="AX528" s="179"/>
      <c r="AY528" s="179"/>
      <c r="AZ528" s="179"/>
    </row>
    <row r="529" spans="1:52" s="104" customFormat="1" outlineLevel="1">
      <c r="A529" s="477" t="str">
        <f t="shared" si="105"/>
        <v>1</v>
      </c>
      <c r="B529" s="104" t="s">
        <v>623</v>
      </c>
      <c r="D529" s="104" t="s">
        <v>1591</v>
      </c>
      <c r="L529" s="362" t="s">
        <v>494</v>
      </c>
      <c r="M529" s="363" t="s">
        <v>623</v>
      </c>
      <c r="N529" s="364" t="s">
        <v>352</v>
      </c>
      <c r="O529" s="365"/>
      <c r="P529" s="365"/>
      <c r="Q529" s="365"/>
      <c r="R529" s="366">
        <f t="shared" si="106"/>
        <v>0</v>
      </c>
      <c r="S529" s="365"/>
      <c r="T529" s="365">
        <f>SUMIFS(Экономия_корр!O$15:O$32,Экономия_корр!$A$15:$A$32,$A529,Экономия_корр!$M$15:$M$32,"Экономия расходов с учетом ИПЦ")</f>
        <v>0</v>
      </c>
      <c r="U529" s="365">
        <f>SUMIFS(Экономия_корр!P$15:P$32,Экономия_корр!$A$15:$A$32,$A529,Экономия_корр!$M$15:$M$32,"Экономия расходов с учетом ИПЦ")</f>
        <v>0</v>
      </c>
      <c r="V529" s="365">
        <f>SUMIFS(Экономия_корр!Q$15:Q$32,Экономия_корр!$A$15:$A$32,$A529,Экономия_корр!$M$15:$M$32,"Экономия расходов с учетом ИПЦ")</f>
        <v>0</v>
      </c>
      <c r="W529" s="365">
        <f>SUMIFS(Экономия_корр!R$15:R$32,Экономия_корр!$A$15:$A$32,$A529,Экономия_корр!$M$15:$M$32,"Экономия расходов с учетом ИПЦ")</f>
        <v>0</v>
      </c>
      <c r="X529" s="365">
        <f>SUMIFS(Экономия_корр!S$15:S$32,Экономия_корр!$A$15:$A$32,$A529,Экономия_корр!$M$15:$M$32,"Экономия расходов с учетом ИПЦ")</f>
        <v>0</v>
      </c>
      <c r="Y529" s="365">
        <f>SUMIFS(Экономия_корр!T$15:T$32,Экономия_корр!$A$15:$A$32,$A529,Экономия_корр!$M$15:$M$32,"Экономия расходов с учетом ИПЦ")</f>
        <v>0</v>
      </c>
      <c r="Z529" s="365">
        <f>SUMIFS(Экономия_корр!U$15:U$32,Экономия_корр!$A$15:$A$32,$A529,Экономия_корр!$M$15:$M$32,"Экономия расходов с учетом ИПЦ")</f>
        <v>0</v>
      </c>
      <c r="AA529" s="365">
        <f>SUMIFS(Экономия_корр!V$15:V$32,Экономия_корр!$A$15:$A$32,$A529,Экономия_корр!$M$15:$M$32,"Экономия расходов с учетом ИПЦ")</f>
        <v>0</v>
      </c>
      <c r="AB529" s="365">
        <f>SUMIFS(Экономия_корр!W$15:W$32,Экономия_корр!$A$15:$A$32,$A529,Экономия_корр!$M$15:$M$32,"Экономия расходов с учетом ИПЦ")</f>
        <v>0</v>
      </c>
      <c r="AC529" s="365">
        <f>SUMIFS(Экономия_корр!X$15:X$32,Экономия_корр!$A$15:$A$32,$A529,Экономия_корр!$M$15:$M$32,"Экономия расходов с учетом ИПЦ")</f>
        <v>0</v>
      </c>
      <c r="AD529" s="365">
        <f>SUMIFS(Экономия_корр!Y$15:Y$32,Экономия_корр!$A$15:$A$32,$A529,Экономия_корр!$M$15:$M$32,"Экономия расходов с учетом ИПЦ")</f>
        <v>0</v>
      </c>
      <c r="AE529" s="365">
        <f>SUMIFS(Экономия_корр!Z$15:Z$32,Экономия_корр!$A$15:$A$32,$A529,Экономия_корр!$M$15:$M$32,"Экономия расходов с учетом ИПЦ")</f>
        <v>0</v>
      </c>
      <c r="AF529" s="365">
        <f>SUMIFS(Экономия_корр!AA$15:AA$32,Экономия_корр!$A$15:$A$32,$A529,Экономия_корр!$M$15:$M$32,"Экономия расходов с учетом ИПЦ")</f>
        <v>0</v>
      </c>
      <c r="AG529" s="365">
        <f>SUMIFS(Экономия_корр!AB$15:AB$32,Экономия_корр!$A$15:$A$32,$A529,Экономия_корр!$M$15:$M$32,"Экономия расходов с учетом ИПЦ")</f>
        <v>0</v>
      </c>
      <c r="AH529" s="365">
        <f>SUMIFS(Экономия_корр!AC$15:AC$32,Экономия_корр!$A$15:$A$32,$A529,Экономия_корр!$M$15:$M$32,"Экономия расходов с учетом ИПЦ")</f>
        <v>0</v>
      </c>
      <c r="AI529" s="365">
        <f>SUMIFS(Экономия_корр!AD$15:AD$32,Экономия_корр!$A$15:$A$32,$A529,Экономия_корр!$M$15:$M$32,"Экономия расходов с учетом ИПЦ")</f>
        <v>0</v>
      </c>
      <c r="AJ529" s="365">
        <f>SUMIFS(Экономия_корр!AE$15:AE$32,Экономия_корр!$A$15:$A$32,$A529,Экономия_корр!$M$15:$M$32,"Экономия расходов с учетом ИПЦ")</f>
        <v>0</v>
      </c>
      <c r="AK529" s="365">
        <f>SUMIFS(Экономия_корр!AF$15:AF$32,Экономия_корр!$A$15:$A$32,$A529,Экономия_корр!$M$15:$M$32,"Экономия расходов с учетом ИПЦ")</f>
        <v>0</v>
      </c>
      <c r="AL529" s="365">
        <f>SUMIFS(Экономия_корр!AG$15:AG$32,Экономия_корр!$A$15:$A$32,$A529,Экономия_корр!$M$15:$M$32,"Экономия расходов с учетом ИПЦ")</f>
        <v>0</v>
      </c>
      <c r="AM529" s="365">
        <f>SUMIFS(Экономия_корр!AH$15:AH$32,Экономия_корр!$A$15:$A$32,$A529,Экономия_корр!$M$15:$M$32,"Экономия расходов с учетом ИПЦ")</f>
        <v>0</v>
      </c>
      <c r="AN529" s="366">
        <f t="shared" si="91"/>
        <v>0</v>
      </c>
      <c r="AO529" s="366">
        <f t="shared" si="102"/>
        <v>0</v>
      </c>
      <c r="AP529" s="366">
        <f t="shared" si="93"/>
        <v>0</v>
      </c>
      <c r="AQ529" s="366">
        <f t="shared" si="94"/>
        <v>0</v>
      </c>
      <c r="AR529" s="366">
        <f t="shared" si="95"/>
        <v>0</v>
      </c>
      <c r="AS529" s="366">
        <f t="shared" si="96"/>
        <v>0</v>
      </c>
      <c r="AT529" s="366">
        <f t="shared" si="97"/>
        <v>0</v>
      </c>
      <c r="AU529" s="366">
        <f t="shared" si="98"/>
        <v>0</v>
      </c>
      <c r="AV529" s="366">
        <f t="shared" si="99"/>
        <v>0</v>
      </c>
      <c r="AW529" s="366">
        <f t="shared" si="100"/>
        <v>0</v>
      </c>
      <c r="AX529" s="179"/>
      <c r="AY529" s="179"/>
      <c r="AZ529" s="179"/>
    </row>
    <row r="530" spans="1:52" s="104" customFormat="1" outlineLevel="1">
      <c r="A530" s="477" t="str">
        <f t="shared" si="105"/>
        <v>1</v>
      </c>
      <c r="B530" s="104" t="s">
        <v>624</v>
      </c>
      <c r="D530" s="104" t="s">
        <v>1592</v>
      </c>
      <c r="L530" s="362" t="s">
        <v>497</v>
      </c>
      <c r="M530" s="363" t="s">
        <v>624</v>
      </c>
      <c r="N530" s="364" t="s">
        <v>352</v>
      </c>
      <c r="O530" s="365"/>
      <c r="P530" s="365"/>
      <c r="Q530" s="365"/>
      <c r="R530" s="366">
        <f t="shared" si="106"/>
        <v>0</v>
      </c>
      <c r="S530" s="365"/>
      <c r="T530" s="365"/>
      <c r="U530" s="365"/>
      <c r="V530" s="365"/>
      <c r="W530" s="365"/>
      <c r="X530" s="365"/>
      <c r="Y530" s="365"/>
      <c r="Z530" s="365"/>
      <c r="AA530" s="365"/>
      <c r="AB530" s="365"/>
      <c r="AC530" s="365"/>
      <c r="AD530" s="365"/>
      <c r="AE530" s="365"/>
      <c r="AF530" s="365"/>
      <c r="AG530" s="365"/>
      <c r="AH530" s="365"/>
      <c r="AI530" s="365"/>
      <c r="AJ530" s="365"/>
      <c r="AK530" s="365"/>
      <c r="AL530" s="365"/>
      <c r="AM530" s="365"/>
      <c r="AN530" s="366">
        <f t="shared" si="91"/>
        <v>0</v>
      </c>
      <c r="AO530" s="366">
        <f t="shared" si="102"/>
        <v>0</v>
      </c>
      <c r="AP530" s="366">
        <f t="shared" si="93"/>
        <v>0</v>
      </c>
      <c r="AQ530" s="366">
        <f t="shared" si="94"/>
        <v>0</v>
      </c>
      <c r="AR530" s="366">
        <f t="shared" si="95"/>
        <v>0</v>
      </c>
      <c r="AS530" s="366">
        <f t="shared" si="96"/>
        <v>0</v>
      </c>
      <c r="AT530" s="366">
        <f t="shared" si="97"/>
        <v>0</v>
      </c>
      <c r="AU530" s="366">
        <f t="shared" si="98"/>
        <v>0</v>
      </c>
      <c r="AV530" s="366">
        <f t="shared" si="99"/>
        <v>0</v>
      </c>
      <c r="AW530" s="366">
        <f t="shared" si="100"/>
        <v>0</v>
      </c>
      <c r="AX530" s="179"/>
      <c r="AY530" s="179"/>
      <c r="AZ530" s="179"/>
    </row>
    <row r="531" spans="1:52" s="104" customFormat="1" ht="22.8" outlineLevel="1">
      <c r="A531" s="477" t="str">
        <f t="shared" si="105"/>
        <v>1</v>
      </c>
      <c r="B531" s="104" t="s">
        <v>625</v>
      </c>
      <c r="D531" s="104" t="s">
        <v>1593</v>
      </c>
      <c r="L531" s="362" t="s">
        <v>500</v>
      </c>
      <c r="M531" s="363" t="s">
        <v>625</v>
      </c>
      <c r="N531" s="364" t="s">
        <v>352</v>
      </c>
      <c r="O531" s="365"/>
      <c r="P531" s="365"/>
      <c r="Q531" s="365"/>
      <c r="R531" s="366">
        <f t="shared" si="106"/>
        <v>0</v>
      </c>
      <c r="S531" s="365"/>
      <c r="T531" s="365"/>
      <c r="U531" s="365"/>
      <c r="V531" s="365"/>
      <c r="W531" s="365"/>
      <c r="X531" s="365"/>
      <c r="Y531" s="365"/>
      <c r="Z531" s="365"/>
      <c r="AA531" s="365"/>
      <c r="AB531" s="365"/>
      <c r="AC531" s="365"/>
      <c r="AD531" s="365"/>
      <c r="AE531" s="365"/>
      <c r="AF531" s="365"/>
      <c r="AG531" s="365"/>
      <c r="AH531" s="365"/>
      <c r="AI531" s="365"/>
      <c r="AJ531" s="365"/>
      <c r="AK531" s="365"/>
      <c r="AL531" s="365"/>
      <c r="AM531" s="365"/>
      <c r="AN531" s="366">
        <f t="shared" si="91"/>
        <v>0</v>
      </c>
      <c r="AO531" s="366">
        <f t="shared" si="102"/>
        <v>0</v>
      </c>
      <c r="AP531" s="366">
        <f t="shared" si="93"/>
        <v>0</v>
      </c>
      <c r="AQ531" s="366">
        <f t="shared" si="94"/>
        <v>0</v>
      </c>
      <c r="AR531" s="366">
        <f t="shared" si="95"/>
        <v>0</v>
      </c>
      <c r="AS531" s="366">
        <f t="shared" si="96"/>
        <v>0</v>
      </c>
      <c r="AT531" s="366">
        <f t="shared" si="97"/>
        <v>0</v>
      </c>
      <c r="AU531" s="366">
        <f t="shared" si="98"/>
        <v>0</v>
      </c>
      <c r="AV531" s="366">
        <f t="shared" si="99"/>
        <v>0</v>
      </c>
      <c r="AW531" s="366">
        <f t="shared" si="100"/>
        <v>0</v>
      </c>
      <c r="AX531" s="179"/>
      <c r="AY531" s="179"/>
      <c r="AZ531" s="179"/>
    </row>
    <row r="532" spans="1:52" s="104" customFormat="1" outlineLevel="1">
      <c r="A532" s="477" t="str">
        <f t="shared" si="105"/>
        <v>1</v>
      </c>
      <c r="B532" s="104" t="s">
        <v>627</v>
      </c>
      <c r="D532" s="104" t="s">
        <v>1594</v>
      </c>
      <c r="L532" s="362" t="s">
        <v>626</v>
      </c>
      <c r="M532" s="363" t="s">
        <v>627</v>
      </c>
      <c r="N532" s="364" t="s">
        <v>352</v>
      </c>
      <c r="O532" s="370">
        <f>SUM(O533,O534)</f>
        <v>0</v>
      </c>
      <c r="P532" s="366">
        <f t="shared" ref="P532:AM532" si="107">SUM(P533,P534)</f>
        <v>0</v>
      </c>
      <c r="Q532" s="366">
        <f t="shared" si="107"/>
        <v>0</v>
      </c>
      <c r="R532" s="366">
        <f t="shared" si="106"/>
        <v>0</v>
      </c>
      <c r="S532" s="366">
        <f t="shared" si="107"/>
        <v>0</v>
      </c>
      <c r="T532" s="370">
        <f t="shared" si="107"/>
        <v>0</v>
      </c>
      <c r="U532" s="366">
        <f t="shared" si="107"/>
        <v>0</v>
      </c>
      <c r="V532" s="366">
        <f t="shared" si="107"/>
        <v>0</v>
      </c>
      <c r="W532" s="366">
        <f t="shared" si="107"/>
        <v>0</v>
      </c>
      <c r="X532" s="366">
        <f t="shared" si="107"/>
        <v>0</v>
      </c>
      <c r="Y532" s="366">
        <f t="shared" si="107"/>
        <v>0</v>
      </c>
      <c r="Z532" s="366">
        <f t="shared" si="107"/>
        <v>0</v>
      </c>
      <c r="AA532" s="366">
        <f t="shared" si="107"/>
        <v>0</v>
      </c>
      <c r="AB532" s="366">
        <f t="shared" si="107"/>
        <v>0</v>
      </c>
      <c r="AC532" s="366">
        <f t="shared" si="107"/>
        <v>0</v>
      </c>
      <c r="AD532" s="370">
        <f t="shared" si="107"/>
        <v>0</v>
      </c>
      <c r="AE532" s="366">
        <f t="shared" si="107"/>
        <v>0</v>
      </c>
      <c r="AF532" s="366">
        <f t="shared" si="107"/>
        <v>0</v>
      </c>
      <c r="AG532" s="366">
        <f t="shared" si="107"/>
        <v>0</v>
      </c>
      <c r="AH532" s="366">
        <f t="shared" si="107"/>
        <v>0</v>
      </c>
      <c r="AI532" s="366">
        <f t="shared" si="107"/>
        <v>0</v>
      </c>
      <c r="AJ532" s="366">
        <f t="shared" si="107"/>
        <v>0</v>
      </c>
      <c r="AK532" s="366">
        <f t="shared" si="107"/>
        <v>0</v>
      </c>
      <c r="AL532" s="366">
        <f t="shared" si="107"/>
        <v>0</v>
      </c>
      <c r="AM532" s="366">
        <f t="shared" si="107"/>
        <v>0</v>
      </c>
      <c r="AN532" s="366">
        <f t="shared" si="91"/>
        <v>0</v>
      </c>
      <c r="AO532" s="366">
        <f t="shared" si="102"/>
        <v>0</v>
      </c>
      <c r="AP532" s="366">
        <f t="shared" si="93"/>
        <v>0</v>
      </c>
      <c r="AQ532" s="366">
        <f t="shared" si="94"/>
        <v>0</v>
      </c>
      <c r="AR532" s="366">
        <f t="shared" si="95"/>
        <v>0</v>
      </c>
      <c r="AS532" s="366">
        <f t="shared" si="96"/>
        <v>0</v>
      </c>
      <c r="AT532" s="366">
        <f t="shared" si="97"/>
        <v>0</v>
      </c>
      <c r="AU532" s="366">
        <f t="shared" si="98"/>
        <v>0</v>
      </c>
      <c r="AV532" s="366">
        <f t="shared" si="99"/>
        <v>0</v>
      </c>
      <c r="AW532" s="366">
        <f t="shared" si="100"/>
        <v>0</v>
      </c>
      <c r="AX532" s="179"/>
      <c r="AY532" s="179"/>
      <c r="AZ532" s="179"/>
    </row>
    <row r="533" spans="1:52" s="104" customFormat="1" outlineLevel="1">
      <c r="A533" s="477" t="str">
        <f t="shared" si="105"/>
        <v>1</v>
      </c>
      <c r="D533" s="104" t="s">
        <v>1595</v>
      </c>
      <c r="L533" s="362" t="s">
        <v>628</v>
      </c>
      <c r="M533" s="369" t="s">
        <v>629</v>
      </c>
      <c r="N533" s="364" t="s">
        <v>352</v>
      </c>
      <c r="O533" s="365"/>
      <c r="P533" s="365"/>
      <c r="Q533" s="365"/>
      <c r="R533" s="366">
        <f t="shared" si="106"/>
        <v>0</v>
      </c>
      <c r="S533" s="365"/>
      <c r="T533" s="365"/>
      <c r="U533" s="365"/>
      <c r="V533" s="365"/>
      <c r="W533" s="365"/>
      <c r="X533" s="365"/>
      <c r="Y533" s="365"/>
      <c r="Z533" s="365"/>
      <c r="AA533" s="365"/>
      <c r="AB533" s="365"/>
      <c r="AC533" s="365"/>
      <c r="AD533" s="365"/>
      <c r="AE533" s="365"/>
      <c r="AF533" s="365"/>
      <c r="AG533" s="365"/>
      <c r="AH533" s="365"/>
      <c r="AI533" s="365"/>
      <c r="AJ533" s="365"/>
      <c r="AK533" s="365"/>
      <c r="AL533" s="365"/>
      <c r="AM533" s="365"/>
      <c r="AN533" s="366">
        <f t="shared" si="91"/>
        <v>0</v>
      </c>
      <c r="AO533" s="366">
        <f t="shared" si="102"/>
        <v>0</v>
      </c>
      <c r="AP533" s="366">
        <f t="shared" si="93"/>
        <v>0</v>
      </c>
      <c r="AQ533" s="366">
        <f t="shared" si="94"/>
        <v>0</v>
      </c>
      <c r="AR533" s="366">
        <f t="shared" si="95"/>
        <v>0</v>
      </c>
      <c r="AS533" s="366">
        <f t="shared" si="96"/>
        <v>0</v>
      </c>
      <c r="AT533" s="366">
        <f t="shared" si="97"/>
        <v>0</v>
      </c>
      <c r="AU533" s="366">
        <f t="shared" si="98"/>
        <v>0</v>
      </c>
      <c r="AV533" s="366">
        <f t="shared" si="99"/>
        <v>0</v>
      </c>
      <c r="AW533" s="366">
        <f t="shared" si="100"/>
        <v>0</v>
      </c>
      <c r="AX533" s="179"/>
      <c r="AY533" s="179"/>
      <c r="AZ533" s="179"/>
    </row>
    <row r="534" spans="1:52" s="104" customFormat="1" outlineLevel="1">
      <c r="A534" s="477" t="str">
        <f t="shared" si="105"/>
        <v>1</v>
      </c>
      <c r="D534" s="104" t="s">
        <v>1596</v>
      </c>
      <c r="L534" s="362" t="s">
        <v>630</v>
      </c>
      <c r="M534" s="369" t="s">
        <v>631</v>
      </c>
      <c r="N534" s="364" t="s">
        <v>352</v>
      </c>
      <c r="O534" s="365"/>
      <c r="P534" s="365"/>
      <c r="Q534" s="365"/>
      <c r="R534" s="366">
        <f t="shared" si="106"/>
        <v>0</v>
      </c>
      <c r="S534" s="365"/>
      <c r="T534" s="365"/>
      <c r="U534" s="365"/>
      <c r="V534" s="365"/>
      <c r="W534" s="365"/>
      <c r="X534" s="365"/>
      <c r="Y534" s="365"/>
      <c r="Z534" s="365"/>
      <c r="AA534" s="365"/>
      <c r="AB534" s="365"/>
      <c r="AC534" s="365"/>
      <c r="AD534" s="365"/>
      <c r="AE534" s="365"/>
      <c r="AF534" s="365"/>
      <c r="AG534" s="365"/>
      <c r="AH534" s="365"/>
      <c r="AI534" s="365"/>
      <c r="AJ534" s="365"/>
      <c r="AK534" s="365"/>
      <c r="AL534" s="365"/>
      <c r="AM534" s="365"/>
      <c r="AN534" s="366">
        <f t="shared" si="91"/>
        <v>0</v>
      </c>
      <c r="AO534" s="366">
        <f t="shared" si="102"/>
        <v>0</v>
      </c>
      <c r="AP534" s="366">
        <f t="shared" si="93"/>
        <v>0</v>
      </c>
      <c r="AQ534" s="366">
        <f t="shared" si="94"/>
        <v>0</v>
      </c>
      <c r="AR534" s="366">
        <f t="shared" si="95"/>
        <v>0</v>
      </c>
      <c r="AS534" s="366">
        <f t="shared" si="96"/>
        <v>0</v>
      </c>
      <c r="AT534" s="366">
        <f t="shared" si="97"/>
        <v>0</v>
      </c>
      <c r="AU534" s="366">
        <f t="shared" si="98"/>
        <v>0</v>
      </c>
      <c r="AV534" s="366">
        <f t="shared" si="99"/>
        <v>0</v>
      </c>
      <c r="AW534" s="366">
        <f t="shared" si="100"/>
        <v>0</v>
      </c>
      <c r="AX534" s="179"/>
      <c r="AY534" s="179"/>
      <c r="AZ534" s="179"/>
    </row>
    <row r="535" spans="1:52" s="104" customFormat="1" ht="34.200000000000003" outlineLevel="1">
      <c r="A535" s="477" t="str">
        <f t="shared" si="105"/>
        <v>1</v>
      </c>
      <c r="B535" s="104" t="s">
        <v>1362</v>
      </c>
      <c r="D535" s="104" t="s">
        <v>1597</v>
      </c>
      <c r="L535" s="362" t="s">
        <v>632</v>
      </c>
      <c r="M535" s="363" t="s">
        <v>633</v>
      </c>
      <c r="N535" s="364" t="s">
        <v>352</v>
      </c>
      <c r="O535" s="365"/>
      <c r="P535" s="365"/>
      <c r="Q535" s="365"/>
      <c r="R535" s="366">
        <f t="shared" si="106"/>
        <v>0</v>
      </c>
      <c r="S535" s="365"/>
      <c r="T535" s="365"/>
      <c r="U535" s="365"/>
      <c r="V535" s="365"/>
      <c r="W535" s="365"/>
      <c r="X535" s="365"/>
      <c r="Y535" s="365"/>
      <c r="Z535" s="365"/>
      <c r="AA535" s="365"/>
      <c r="AB535" s="365"/>
      <c r="AC535" s="365"/>
      <c r="AD535" s="365"/>
      <c r="AE535" s="365"/>
      <c r="AF535" s="365"/>
      <c r="AG535" s="365"/>
      <c r="AH535" s="365"/>
      <c r="AI535" s="365"/>
      <c r="AJ535" s="365"/>
      <c r="AK535" s="365"/>
      <c r="AL535" s="365"/>
      <c r="AM535" s="365"/>
      <c r="AN535" s="366">
        <f t="shared" si="91"/>
        <v>0</v>
      </c>
      <c r="AO535" s="366">
        <f t="shared" si="102"/>
        <v>0</v>
      </c>
      <c r="AP535" s="366">
        <f t="shared" si="93"/>
        <v>0</v>
      </c>
      <c r="AQ535" s="366">
        <f t="shared" si="94"/>
        <v>0</v>
      </c>
      <c r="AR535" s="366">
        <f t="shared" si="95"/>
        <v>0</v>
      </c>
      <c r="AS535" s="366">
        <f t="shared" si="96"/>
        <v>0</v>
      </c>
      <c r="AT535" s="366">
        <f t="shared" si="97"/>
        <v>0</v>
      </c>
      <c r="AU535" s="366">
        <f t="shared" si="98"/>
        <v>0</v>
      </c>
      <c r="AV535" s="366">
        <f t="shared" si="99"/>
        <v>0</v>
      </c>
      <c r="AW535" s="366">
        <f t="shared" si="100"/>
        <v>0</v>
      </c>
      <c r="AX535" s="179"/>
      <c r="AY535" s="179"/>
      <c r="AZ535" s="179"/>
    </row>
    <row r="536" spans="1:52" s="109" customFormat="1" outlineLevel="1">
      <c r="A536" s="477" t="str">
        <f t="shared" si="105"/>
        <v>1</v>
      </c>
      <c r="B536" s="104" t="s">
        <v>1078</v>
      </c>
      <c r="C536" s="104"/>
      <c r="D536" s="104" t="s">
        <v>1442</v>
      </c>
      <c r="L536" s="381" t="s">
        <v>103</v>
      </c>
      <c r="M536" s="358" t="s">
        <v>634</v>
      </c>
      <c r="N536" s="382" t="s">
        <v>352</v>
      </c>
      <c r="O536" s="383">
        <f>SUMIFS(ЭЭ!O$15:O$38,ЭЭ!$A$15:$A$38,$A536,ЭЭ!$M$15:$M$38,"Всего по тарифу")</f>
        <v>79.319999999999993</v>
      </c>
      <c r="P536" s="383">
        <f>SUMIFS(ЭЭ!P$15:P$38,ЭЭ!$A$15:$A$38,$A536,ЭЭ!$M$15:$M$38,"Всего по тарифу")</f>
        <v>75.44</v>
      </c>
      <c r="Q536" s="383">
        <f>SUMIFS(ЭЭ!Q$15:Q$38,ЭЭ!$A$15:$A$38,$A536,ЭЭ!$M$15:$M$38,"Всего по тарифу")</f>
        <v>85.5</v>
      </c>
      <c r="R536" s="360">
        <f t="shared" si="106"/>
        <v>10.060000000000002</v>
      </c>
      <c r="S536" s="383">
        <f>SUMIFS(ЭЭ!R$15:R$38,ЭЭ!$A$15:$A$38,$A536,ЭЭ!$M$15:$M$38,"Всего по тарифу")</f>
        <v>76.459999999999994</v>
      </c>
      <c r="T536" s="383">
        <f>SUMIFS(ЭЭ!S$15:S$38,ЭЭ!$A$15:$A$38,$A536,ЭЭ!$M$15:$M$38,"Всего по тарифу")</f>
        <v>88.71</v>
      </c>
      <c r="U536" s="383">
        <f>SUMIFS(ЭЭ!T$15:T$38,ЭЭ!$A$15:$A$38,$A536,ЭЭ!$M$15:$M$38,"Всего по тарифу")</f>
        <v>0</v>
      </c>
      <c r="V536" s="383">
        <f>SUMIFS(ЭЭ!U$15:U$38,ЭЭ!$A$15:$A$38,$A536,ЭЭ!$M$15:$M$38,"Всего по тарифу")</f>
        <v>0</v>
      </c>
      <c r="W536" s="383">
        <f>SUMIFS(ЭЭ!V$15:V$38,ЭЭ!$A$15:$A$38,$A536,ЭЭ!$M$15:$M$38,"Всего по тарифу")</f>
        <v>0</v>
      </c>
      <c r="X536" s="383">
        <f>SUMIFS(ЭЭ!W$15:W$38,ЭЭ!$A$15:$A$38,$A536,ЭЭ!$M$15:$M$38,"Всего по тарифу")</f>
        <v>0</v>
      </c>
      <c r="Y536" s="383">
        <f>SUMIFS(ЭЭ!X$15:X$38,ЭЭ!$A$15:$A$38,$A536,ЭЭ!$M$15:$M$38,"Всего по тарифу")</f>
        <v>0</v>
      </c>
      <c r="Z536" s="383">
        <f>SUMIFS(ЭЭ!Y$15:Y$38,ЭЭ!$A$15:$A$38,$A536,ЭЭ!$M$15:$M$38,"Всего по тарифу")</f>
        <v>0</v>
      </c>
      <c r="AA536" s="383">
        <f>SUMIFS(ЭЭ!Z$15:Z$38,ЭЭ!$A$15:$A$38,$A536,ЭЭ!$M$15:$M$38,"Всего по тарифу")</f>
        <v>0</v>
      </c>
      <c r="AB536" s="383">
        <f>SUMIFS(ЭЭ!AA$15:AA$38,ЭЭ!$A$15:$A$38,$A536,ЭЭ!$M$15:$M$38,"Всего по тарифу")</f>
        <v>0</v>
      </c>
      <c r="AC536" s="383">
        <f>SUMIFS(ЭЭ!AB$15:AB$38,ЭЭ!$A$15:$A$38,$A536,ЭЭ!$M$15:$M$38,"Всего по тарифу")</f>
        <v>0</v>
      </c>
      <c r="AD536" s="383">
        <f>SUMIFS(ЭЭ!AC$15:AC$38,ЭЭ!$A$15:$A$38,$A536,ЭЭ!$M$15:$M$38,"Всего по тарифу")</f>
        <v>105.68</v>
      </c>
      <c r="AE536" s="383">
        <f>SUMIFS(ЭЭ!AD$15:AD$38,ЭЭ!$A$15:$A$38,$A536,ЭЭ!$M$15:$M$38,"Всего по тарифу")</f>
        <v>0</v>
      </c>
      <c r="AF536" s="383">
        <f>SUMIFS(ЭЭ!AE$15:AE$38,ЭЭ!$A$15:$A$38,$A536,ЭЭ!$M$15:$M$38,"Всего по тарифу")</f>
        <v>0</v>
      </c>
      <c r="AG536" s="383">
        <f>SUMIFS(ЭЭ!AF$15:AF$38,ЭЭ!$A$15:$A$38,$A536,ЭЭ!$M$15:$M$38,"Всего по тарифу")</f>
        <v>0</v>
      </c>
      <c r="AH536" s="383">
        <f>SUMIFS(ЭЭ!AG$15:AG$38,ЭЭ!$A$15:$A$38,$A536,ЭЭ!$M$15:$M$38,"Всего по тарифу")</f>
        <v>0</v>
      </c>
      <c r="AI536" s="383">
        <f>SUMIFS(ЭЭ!AH$15:AH$38,ЭЭ!$A$15:$A$38,$A536,ЭЭ!$M$15:$M$38,"Всего по тарифу")</f>
        <v>0</v>
      </c>
      <c r="AJ536" s="383">
        <f>SUMIFS(ЭЭ!AI$15:AI$38,ЭЭ!$A$15:$A$38,$A536,ЭЭ!$M$15:$M$38,"Всего по тарифу")</f>
        <v>0</v>
      </c>
      <c r="AK536" s="383">
        <f>SUMIFS(ЭЭ!AJ$15:AJ$38,ЭЭ!$A$15:$A$38,$A536,ЭЭ!$M$15:$M$38,"Всего по тарифу")</f>
        <v>0</v>
      </c>
      <c r="AL536" s="383">
        <f>SUMIFS(ЭЭ!AK$15:AK$38,ЭЭ!$A$15:$A$38,$A536,ЭЭ!$M$15:$M$38,"Всего по тарифу")</f>
        <v>0</v>
      </c>
      <c r="AM536" s="383">
        <f>SUMIFS(ЭЭ!AL$15:AL$38,ЭЭ!$A$15:$A$38,$A536,ЭЭ!$M$15:$M$38,"Всего по тарифу")</f>
        <v>0</v>
      </c>
      <c r="AN536" s="360">
        <f t="shared" si="91"/>
        <v>38.216060685325679</v>
      </c>
      <c r="AO536" s="360">
        <f t="shared" si="102"/>
        <v>-100</v>
      </c>
      <c r="AP536" s="360">
        <f t="shared" si="93"/>
        <v>0</v>
      </c>
      <c r="AQ536" s="360">
        <f t="shared" si="94"/>
        <v>0</v>
      </c>
      <c r="AR536" s="360">
        <f t="shared" si="95"/>
        <v>0</v>
      </c>
      <c r="AS536" s="360">
        <f t="shared" si="96"/>
        <v>0</v>
      </c>
      <c r="AT536" s="360">
        <f t="shared" si="97"/>
        <v>0</v>
      </c>
      <c r="AU536" s="360">
        <f t="shared" si="98"/>
        <v>0</v>
      </c>
      <c r="AV536" s="360">
        <f t="shared" si="99"/>
        <v>0</v>
      </c>
      <c r="AW536" s="360">
        <f t="shared" si="100"/>
        <v>0</v>
      </c>
      <c r="AX536" s="179"/>
      <c r="AY536" s="179"/>
      <c r="AZ536" s="179"/>
    </row>
    <row r="537" spans="1:52" s="109" customFormat="1" ht="34.200000000000003" outlineLevel="1">
      <c r="A537" s="477" t="str">
        <f t="shared" si="105"/>
        <v>1</v>
      </c>
      <c r="B537" s="104" t="s">
        <v>1079</v>
      </c>
      <c r="C537" s="104"/>
      <c r="D537" s="104" t="s">
        <v>1444</v>
      </c>
      <c r="L537" s="381" t="s">
        <v>104</v>
      </c>
      <c r="M537" s="358" t="s">
        <v>635</v>
      </c>
      <c r="N537" s="382" t="s">
        <v>352</v>
      </c>
      <c r="O537" s="383">
        <f>SUMIFS(Амортизация!O$15:O$114,Амортизация!$A$15:$A$114,$A537,Амортизация!$M$15:$M$114,"Сумма амортизационных отчислений")</f>
        <v>71.19</v>
      </c>
      <c r="P537" s="383">
        <f>SUMIFS(Амортизация!P$15:P$114,Амортизация!$A$15:$A$114,$A537,Амортизация!$M$15:$M$114,"Сумма амортизационных отчислений")</f>
        <v>6039.86</v>
      </c>
      <c r="Q537" s="383">
        <f>SUMIFS(Амортизация!Q$15:Q$114,Амортизация!$A$15:$A$114,$A537,Амортизация!$M$15:$M$114,"Сумма амортизационных отчислений")</f>
        <v>0</v>
      </c>
      <c r="R537" s="360">
        <f t="shared" si="106"/>
        <v>-6039.86</v>
      </c>
      <c r="S537" s="383">
        <f>SUMIFS(Амортизация!R$15:R$114,Амортизация!$A$15:$A$114,$A537,Амортизация!$M$15:$M$114,"Сумма амортизационных отчислений")</f>
        <v>71.19</v>
      </c>
      <c r="T537" s="383">
        <f>SUMIFS(Амортизация!S$15:S$114,Амортизация!$A$15:$A$114,$A537,Амортизация!$M$15:$M$114,"Сумма амортизационных отчислений")</f>
        <v>434.78</v>
      </c>
      <c r="U537" s="383">
        <f>SUMIFS(Амортизация!T$15:T$114,Амортизация!$A$15:$A$114,$A537,Амортизация!$M$15:$M$114,"Сумма амортизационных отчислений")</f>
        <v>0</v>
      </c>
      <c r="V537" s="383">
        <f>SUMIFS(Амортизация!U$15:U$114,Амортизация!$A$15:$A$114,$A537,Амортизация!$M$15:$M$114,"Сумма амортизационных отчислений")</f>
        <v>0</v>
      </c>
      <c r="W537" s="383">
        <f>SUMIFS(Амортизация!V$15:V$114,Амортизация!$A$15:$A$114,$A537,Амортизация!$M$15:$M$114,"Сумма амортизационных отчислений")</f>
        <v>0</v>
      </c>
      <c r="X537" s="383">
        <f>SUMIFS(Амортизация!W$15:W$114,Амортизация!$A$15:$A$114,$A537,Амортизация!$M$15:$M$114,"Сумма амортизационных отчислений")</f>
        <v>0</v>
      </c>
      <c r="Y537" s="383">
        <f>SUMIFS(Амортизация!X$15:X$114,Амортизация!$A$15:$A$114,$A537,Амортизация!$M$15:$M$114,"Сумма амортизационных отчислений")</f>
        <v>0</v>
      </c>
      <c r="Z537" s="383">
        <f>SUMIFS(Амортизация!Y$15:Y$114,Амортизация!$A$15:$A$114,$A537,Амортизация!$M$15:$M$114,"Сумма амортизационных отчислений")</f>
        <v>0</v>
      </c>
      <c r="AA537" s="383">
        <f>SUMIFS(Амортизация!Z$15:Z$114,Амортизация!$A$15:$A$114,$A537,Амортизация!$M$15:$M$114,"Сумма амортизационных отчислений")</f>
        <v>0</v>
      </c>
      <c r="AB537" s="383">
        <f>SUMIFS(Амортизация!AA$15:AA$114,Амортизация!$A$15:$A$114,$A537,Амортизация!$M$15:$M$114,"Сумма амортизационных отчислений")</f>
        <v>0</v>
      </c>
      <c r="AC537" s="383">
        <f>SUMIFS(Амортизация!AB$15:AB$114,Амортизация!$A$15:$A$114,$A537,Амортизация!$M$15:$M$114,"Сумма амортизационных отчислений")</f>
        <v>0</v>
      </c>
      <c r="AD537" s="383">
        <f>SUMIFS(Амортизация!AC$15:AC$114,Амортизация!$A$15:$A$114,$A537,Амортизация!$M$15:$M$114,"Сумма амортизационных отчислений")</f>
        <v>0</v>
      </c>
      <c r="AE537" s="383">
        <f>SUMIFS(Амортизация!AD$15:AD$114,Амортизация!$A$15:$A$114,$A537,Амортизация!$M$15:$M$114,"Сумма амортизационных отчислений")</f>
        <v>0</v>
      </c>
      <c r="AF537" s="383">
        <f>SUMIFS(Амортизация!AE$15:AE$114,Амортизация!$A$15:$A$114,$A537,Амортизация!$M$15:$M$114,"Сумма амортизационных отчислений")</f>
        <v>0</v>
      </c>
      <c r="AG537" s="383">
        <f>SUMIFS(Амортизация!AF$15:AF$114,Амортизация!$A$15:$A$114,$A537,Амортизация!$M$15:$M$114,"Сумма амортизационных отчислений")</f>
        <v>0</v>
      </c>
      <c r="AH537" s="383">
        <f>SUMIFS(Амортизация!AG$15:AG$114,Амортизация!$A$15:$A$114,$A537,Амортизация!$M$15:$M$114,"Сумма амортизационных отчислений")</f>
        <v>0</v>
      </c>
      <c r="AI537" s="383">
        <f>SUMIFS(Амортизация!AH$15:AH$114,Амортизация!$A$15:$A$114,$A537,Амортизация!$M$15:$M$114,"Сумма амортизационных отчислений")</f>
        <v>0</v>
      </c>
      <c r="AJ537" s="383">
        <f>SUMIFS(Амортизация!AI$15:AI$114,Амортизация!$A$15:$A$114,$A537,Амортизация!$M$15:$M$114,"Сумма амортизационных отчислений")</f>
        <v>0</v>
      </c>
      <c r="AK537" s="383">
        <f>SUMIFS(Амортизация!AJ$15:AJ$114,Амортизация!$A$15:$A$114,$A537,Амортизация!$M$15:$M$114,"Сумма амортизационных отчислений")</f>
        <v>0</v>
      </c>
      <c r="AL537" s="383">
        <f>SUMIFS(Амортизация!AK$15:AK$114,Амортизация!$A$15:$A$114,$A537,Амортизация!$M$15:$M$114,"Сумма амортизационных отчислений")</f>
        <v>0</v>
      </c>
      <c r="AM537" s="383">
        <f>SUMIFS(Амортизация!AL$15:AL$114,Амортизация!$A$15:$A$114,$A537,Амортизация!$M$15:$M$114,"Сумма амортизационных отчислений")</f>
        <v>0</v>
      </c>
      <c r="AN537" s="360">
        <f t="shared" si="91"/>
        <v>-100</v>
      </c>
      <c r="AO537" s="360">
        <f t="shared" si="102"/>
        <v>0</v>
      </c>
      <c r="AP537" s="360">
        <f t="shared" si="93"/>
        <v>0</v>
      </c>
      <c r="AQ537" s="360">
        <f t="shared" si="94"/>
        <v>0</v>
      </c>
      <c r="AR537" s="360">
        <f t="shared" si="95"/>
        <v>0</v>
      </c>
      <c r="AS537" s="360">
        <f t="shared" si="96"/>
        <v>0</v>
      </c>
      <c r="AT537" s="360">
        <f t="shared" si="97"/>
        <v>0</v>
      </c>
      <c r="AU537" s="360">
        <f t="shared" si="98"/>
        <v>0</v>
      </c>
      <c r="AV537" s="360">
        <f t="shared" si="99"/>
        <v>0</v>
      </c>
      <c r="AW537" s="360">
        <f t="shared" si="100"/>
        <v>0</v>
      </c>
      <c r="AX537" s="179"/>
      <c r="AY537" s="179"/>
      <c r="AZ537" s="179"/>
    </row>
    <row r="538" spans="1:52" s="104" customFormat="1" outlineLevel="1">
      <c r="A538" s="477" t="str">
        <f t="shared" si="105"/>
        <v>1</v>
      </c>
      <c r="D538" s="104" t="s">
        <v>1598</v>
      </c>
      <c r="L538" s="362" t="s">
        <v>140</v>
      </c>
      <c r="M538" s="409" t="s">
        <v>1206</v>
      </c>
      <c r="N538" s="364" t="s">
        <v>352</v>
      </c>
      <c r="O538" s="365">
        <f>SUMIFS('ИП + источники'!P$17:P$89,'ИП + источники'!$A$17:$A$89,$A538,'ИП + источники'!$M$17:$M$89,"Амортизационные отчисления")+SUMIFS('ИП + источники'!P$17:P$89,'ИП + источники'!$A$17:$A$89,$A538,'ИП + источники'!$M$17:$M$89,"погашение займов и кредитов из амортизации")</f>
        <v>0</v>
      </c>
      <c r="P538" s="365">
        <f>SUMIFS('ИП + источники'!Q$17:Q$89,'ИП + источники'!$A$17:$A$89,$A538,'ИП + источники'!$M$17:$M$89,"Амортизационные отчисления")+SUMIFS('ИП + источники'!Q$17:Q$89,'ИП + источники'!$A$17:$A$89,$A538,'ИП + источники'!$M$17:$M$89,"погашение займов и кредитов из амортизации")</f>
        <v>0</v>
      </c>
      <c r="Q538" s="365">
        <f>SUMIFS('ИП + источники'!R$17:R$89,'ИП + источники'!$A$17:$A$89,$A538,'ИП + источники'!$M$17:$M$89,"Амортизационные отчисления")+SUMIFS('ИП + источники'!R$17:R$89,'ИП + источники'!$A$17:$A$89,$A538,'ИП + источники'!$M$17:$M$89,"погашение займов и кредитов из амортизации")</f>
        <v>0</v>
      </c>
      <c r="R538" s="366">
        <f t="shared" si="106"/>
        <v>0</v>
      </c>
      <c r="S538" s="365">
        <f>SUMIFS('ИП + источники'!T$17:T$89,'ИП + источники'!$A$17:$A$89,$A538,'ИП + источники'!$M$17:$M$89,"Амортизационные отчисления")+SUMIFS('ИП + источники'!T$17:T$89,'ИП + источники'!$A$17:$A$89,$A538,'ИП + источники'!$M$17:$M$89,"погашение займов и кредитов из амортизации")</f>
        <v>0</v>
      </c>
      <c r="T538" s="365">
        <f>SUMIFS('ИП + источники'!U$17:U$89,'ИП + источники'!$A$17:$A$89,$A538,'ИП + источники'!$M$17:$M$89,"Амортизационные отчисления")+SUMIFS('ИП + источники'!U$17:U$89,'ИП + источники'!$A$17:$A$89,$A538,'ИП + источники'!$M$17:$M$89,"погашение займов и кредитов из амортизации")</f>
        <v>0</v>
      </c>
      <c r="U538" s="365">
        <f>SUMIFS('ИП + источники'!V$17:V$89,'ИП + источники'!$A$17:$A$89,$A538,'ИП + источники'!$M$17:$M$89,"Амортизационные отчисления")+SUMIFS('ИП + источники'!V$17:V$89,'ИП + источники'!$A$17:$A$89,$A538,'ИП + источники'!$M$17:$M$89,"погашение займов и кредитов из амортизации")</f>
        <v>0</v>
      </c>
      <c r="V538" s="365">
        <f>SUMIFS('ИП + источники'!W$17:W$89,'ИП + источники'!$A$17:$A$89,$A538,'ИП + источники'!$M$17:$M$89,"Амортизационные отчисления")+SUMIFS('ИП + источники'!W$17:W$89,'ИП + источники'!$A$17:$A$89,$A538,'ИП + источники'!$M$17:$M$89,"погашение займов и кредитов из амортизации")</f>
        <v>0</v>
      </c>
      <c r="W538" s="365">
        <f>SUMIFS('ИП + источники'!X$17:X$89,'ИП + источники'!$A$17:$A$89,$A538,'ИП + источники'!$M$17:$M$89,"Амортизационные отчисления")+SUMIFS('ИП + источники'!X$17:X$89,'ИП + источники'!$A$17:$A$89,$A538,'ИП + источники'!$M$17:$M$89,"погашение займов и кредитов из амортизации")</f>
        <v>0</v>
      </c>
      <c r="X538" s="365">
        <f>SUMIFS('ИП + источники'!Y$17:Y$89,'ИП + источники'!$A$17:$A$89,$A538,'ИП + источники'!$M$17:$M$89,"Амортизационные отчисления")+SUMIFS('ИП + источники'!Y$17:Y$89,'ИП + источники'!$A$17:$A$89,$A538,'ИП + источники'!$M$17:$M$89,"погашение займов и кредитов из амортизации")</f>
        <v>0</v>
      </c>
      <c r="Y538" s="365">
        <f>SUMIFS('ИП + источники'!Z$17:Z$89,'ИП + источники'!$A$17:$A$89,$A538,'ИП + источники'!$M$17:$M$89,"Амортизационные отчисления")+SUMIFS('ИП + источники'!Z$17:Z$89,'ИП + источники'!$A$17:$A$89,$A538,'ИП + источники'!$M$17:$M$89,"погашение займов и кредитов из амортизации")</f>
        <v>0</v>
      </c>
      <c r="Z538" s="365">
        <f>SUMIFS('ИП + источники'!AA$17:AA$89,'ИП + источники'!$A$17:$A$89,$A538,'ИП + источники'!$M$17:$M$89,"Амортизационные отчисления")+SUMIFS('ИП + источники'!AA$17:AA$89,'ИП + источники'!$A$17:$A$89,$A538,'ИП + источники'!$M$17:$M$89,"погашение займов и кредитов из амортизации")</f>
        <v>0</v>
      </c>
      <c r="AA538" s="365">
        <f>SUMIFS('ИП + источники'!AB$17:AB$89,'ИП + источники'!$A$17:$A$89,$A538,'ИП + источники'!$M$17:$M$89,"Амортизационные отчисления")+SUMIFS('ИП + источники'!AB$17:AB$89,'ИП + источники'!$A$17:$A$89,$A538,'ИП + источники'!$M$17:$M$89,"погашение займов и кредитов из амортизации")</f>
        <v>0</v>
      </c>
      <c r="AB538" s="365">
        <f>SUMIFS('ИП + источники'!AC$17:AC$89,'ИП + источники'!$A$17:$A$89,$A538,'ИП + источники'!$M$17:$M$89,"Амортизационные отчисления")+SUMIFS('ИП + источники'!AC$17:AC$89,'ИП + источники'!$A$17:$A$89,$A538,'ИП + источники'!$M$17:$M$89,"погашение займов и кредитов из амортизации")</f>
        <v>0</v>
      </c>
      <c r="AC538" s="365">
        <f>SUMIFS('ИП + источники'!AD$17:AD$89,'ИП + источники'!$A$17:$A$89,$A538,'ИП + источники'!$M$17:$M$89,"Амортизационные отчисления")+SUMIFS('ИП + источники'!AD$17:AD$89,'ИП + источники'!$A$17:$A$89,$A538,'ИП + источники'!$M$17:$M$89,"погашение займов и кредитов из амортизации")</f>
        <v>0</v>
      </c>
      <c r="AD538" s="365">
        <f>SUMIFS('ИП + источники'!AE$17:AE$89,'ИП + источники'!$A$17:$A$89,$A538,'ИП + источники'!$M$17:$M$89,"Амортизационные отчисления")+SUMIFS('ИП + источники'!AE$17:AE$89,'ИП + источники'!$A$17:$A$89,$A538,'ИП + источники'!$M$17:$M$89,"погашение займов и кредитов из амортизации")</f>
        <v>0</v>
      </c>
      <c r="AE538" s="365">
        <f>SUMIFS('ИП + источники'!AF$17:AF$89,'ИП + источники'!$A$17:$A$89,$A538,'ИП + источники'!$M$17:$M$89,"Амортизационные отчисления")+SUMIFS('ИП + источники'!AF$17:AF$89,'ИП + источники'!$A$17:$A$89,$A538,'ИП + источники'!$M$17:$M$89,"погашение займов и кредитов из амортизации")</f>
        <v>0</v>
      </c>
      <c r="AF538" s="365">
        <f>SUMIFS('ИП + источники'!AG$17:AG$89,'ИП + источники'!$A$17:$A$89,$A538,'ИП + источники'!$M$17:$M$89,"Амортизационные отчисления")+SUMIFS('ИП + источники'!AG$17:AG$89,'ИП + источники'!$A$17:$A$89,$A538,'ИП + источники'!$M$17:$M$89,"погашение займов и кредитов из амортизации")</f>
        <v>0</v>
      </c>
      <c r="AG538" s="365">
        <f>SUMIFS('ИП + источники'!AH$17:AH$89,'ИП + источники'!$A$17:$A$89,$A538,'ИП + источники'!$M$17:$M$89,"Амортизационные отчисления")+SUMIFS('ИП + источники'!AH$17:AH$89,'ИП + источники'!$A$17:$A$89,$A538,'ИП + источники'!$M$17:$M$89,"погашение займов и кредитов из амортизации")</f>
        <v>0</v>
      </c>
      <c r="AH538" s="365">
        <f>SUMIFS('ИП + источники'!AI$17:AI$89,'ИП + источники'!$A$17:$A$89,$A538,'ИП + источники'!$M$17:$M$89,"Амортизационные отчисления")+SUMIFS('ИП + источники'!AI$17:AI$89,'ИП + источники'!$A$17:$A$89,$A538,'ИП + источники'!$M$17:$M$89,"погашение займов и кредитов из амортизации")</f>
        <v>0</v>
      </c>
      <c r="AI538" s="365">
        <f>SUMIFS('ИП + источники'!AJ$17:AJ$89,'ИП + источники'!$A$17:$A$89,$A538,'ИП + источники'!$M$17:$M$89,"Амортизационные отчисления")+SUMIFS('ИП + источники'!AJ$17:AJ$89,'ИП + источники'!$A$17:$A$89,$A538,'ИП + источники'!$M$17:$M$89,"погашение займов и кредитов из амортизации")</f>
        <v>0</v>
      </c>
      <c r="AJ538" s="365">
        <f>SUMIFS('ИП + источники'!AK$17:AK$89,'ИП + источники'!$A$17:$A$89,$A538,'ИП + источники'!$M$17:$M$89,"Амортизационные отчисления")+SUMIFS('ИП + источники'!AK$17:AK$89,'ИП + источники'!$A$17:$A$89,$A538,'ИП + источники'!$M$17:$M$89,"погашение займов и кредитов из амортизации")</f>
        <v>0</v>
      </c>
      <c r="AK538" s="365">
        <f>SUMIFS('ИП + источники'!AL$17:AL$89,'ИП + источники'!$A$17:$A$89,$A538,'ИП + источники'!$M$17:$M$89,"Амортизационные отчисления")+SUMIFS('ИП + источники'!AL$17:AL$89,'ИП + источники'!$A$17:$A$89,$A538,'ИП + источники'!$M$17:$M$89,"погашение займов и кредитов из амортизации")</f>
        <v>0</v>
      </c>
      <c r="AL538" s="365">
        <f>SUMIFS('ИП + источники'!AM$17:AM$89,'ИП + источники'!$A$17:$A$89,$A538,'ИП + источники'!$M$17:$M$89,"Амортизационные отчисления")+SUMIFS('ИП + источники'!AM$17:AM$89,'ИП + источники'!$A$17:$A$89,$A538,'ИП + источники'!$M$17:$M$89,"погашение займов и кредитов из амортизации")</f>
        <v>0</v>
      </c>
      <c r="AM538" s="365">
        <f>SUMIFS('ИП + источники'!AN$17:AN$89,'ИП + источники'!$A$17:$A$89,$A538,'ИП + источники'!$M$17:$M$89,"Амортизационные отчисления")+SUMIFS('ИП + источники'!AN$17:AN$89,'ИП + источники'!$A$17:$A$89,$A538,'ИП + источники'!$M$17:$M$89,"погашение займов и кредитов из амортизации")</f>
        <v>0</v>
      </c>
      <c r="AN538" s="366">
        <f t="shared" si="91"/>
        <v>0</v>
      </c>
      <c r="AO538" s="366">
        <f t="shared" si="102"/>
        <v>0</v>
      </c>
      <c r="AP538" s="366">
        <f t="shared" si="93"/>
        <v>0</v>
      </c>
      <c r="AQ538" s="366">
        <f t="shared" si="94"/>
        <v>0</v>
      </c>
      <c r="AR538" s="366">
        <f t="shared" si="95"/>
        <v>0</v>
      </c>
      <c r="AS538" s="366">
        <f t="shared" si="96"/>
        <v>0</v>
      </c>
      <c r="AT538" s="366">
        <f t="shared" si="97"/>
        <v>0</v>
      </c>
      <c r="AU538" s="366">
        <f t="shared" si="98"/>
        <v>0</v>
      </c>
      <c r="AV538" s="366">
        <f t="shared" si="99"/>
        <v>0</v>
      </c>
      <c r="AW538" s="366">
        <f t="shared" si="100"/>
        <v>0</v>
      </c>
      <c r="AX538" s="179"/>
      <c r="AY538" s="179"/>
      <c r="AZ538" s="179"/>
    </row>
    <row r="539" spans="1:52" s="109" customFormat="1" outlineLevel="1">
      <c r="A539" s="477" t="str">
        <f t="shared" si="105"/>
        <v>1</v>
      </c>
      <c r="B539" s="104" t="s">
        <v>636</v>
      </c>
      <c r="C539" s="104"/>
      <c r="D539" s="104" t="s">
        <v>1446</v>
      </c>
      <c r="L539" s="381" t="s">
        <v>120</v>
      </c>
      <c r="M539" s="384" t="s">
        <v>636</v>
      </c>
      <c r="N539" s="359" t="s">
        <v>352</v>
      </c>
      <c r="O539" s="361">
        <f>O540+O541+O542+O543</f>
        <v>0</v>
      </c>
      <c r="P539" s="361">
        <f t="shared" ref="P539:AM539" si="108">P540+P541+P542+P543</f>
        <v>0</v>
      </c>
      <c r="Q539" s="361">
        <f t="shared" si="108"/>
        <v>0</v>
      </c>
      <c r="R539" s="385">
        <f t="shared" si="106"/>
        <v>0</v>
      </c>
      <c r="S539" s="361">
        <f t="shared" si="108"/>
        <v>0</v>
      </c>
      <c r="T539" s="361">
        <f t="shared" si="108"/>
        <v>0</v>
      </c>
      <c r="U539" s="361">
        <f t="shared" si="108"/>
        <v>0</v>
      </c>
      <c r="V539" s="361">
        <f t="shared" si="108"/>
        <v>0</v>
      </c>
      <c r="W539" s="361">
        <f t="shared" si="108"/>
        <v>0</v>
      </c>
      <c r="X539" s="361">
        <f t="shared" si="108"/>
        <v>0</v>
      </c>
      <c r="Y539" s="361">
        <f t="shared" si="108"/>
        <v>0</v>
      </c>
      <c r="Z539" s="361">
        <f t="shared" si="108"/>
        <v>0</v>
      </c>
      <c r="AA539" s="361">
        <f t="shared" si="108"/>
        <v>0</v>
      </c>
      <c r="AB539" s="361">
        <f t="shared" si="108"/>
        <v>0</v>
      </c>
      <c r="AC539" s="361">
        <f t="shared" si="108"/>
        <v>0</v>
      </c>
      <c r="AD539" s="361">
        <f t="shared" si="108"/>
        <v>0</v>
      </c>
      <c r="AE539" s="361">
        <f t="shared" si="108"/>
        <v>0</v>
      </c>
      <c r="AF539" s="361">
        <f t="shared" si="108"/>
        <v>0</v>
      </c>
      <c r="AG539" s="361">
        <f t="shared" si="108"/>
        <v>0</v>
      </c>
      <c r="AH539" s="361">
        <f t="shared" si="108"/>
        <v>0</v>
      </c>
      <c r="AI539" s="361">
        <f t="shared" si="108"/>
        <v>0</v>
      </c>
      <c r="AJ539" s="361">
        <f t="shared" si="108"/>
        <v>0</v>
      </c>
      <c r="AK539" s="361">
        <f t="shared" si="108"/>
        <v>0</v>
      </c>
      <c r="AL539" s="361">
        <f t="shared" si="108"/>
        <v>0</v>
      </c>
      <c r="AM539" s="361">
        <f t="shared" si="108"/>
        <v>0</v>
      </c>
      <c r="AN539" s="360">
        <f t="shared" si="91"/>
        <v>0</v>
      </c>
      <c r="AO539" s="360">
        <f t="shared" si="102"/>
        <v>0</v>
      </c>
      <c r="AP539" s="360">
        <f t="shared" si="93"/>
        <v>0</v>
      </c>
      <c r="AQ539" s="360">
        <f t="shared" si="94"/>
        <v>0</v>
      </c>
      <c r="AR539" s="360">
        <f t="shared" si="95"/>
        <v>0</v>
      </c>
      <c r="AS539" s="360">
        <f t="shared" si="96"/>
        <v>0</v>
      </c>
      <c r="AT539" s="360">
        <f t="shared" si="97"/>
        <v>0</v>
      </c>
      <c r="AU539" s="360">
        <f t="shared" si="98"/>
        <v>0</v>
      </c>
      <c r="AV539" s="360">
        <f t="shared" si="99"/>
        <v>0</v>
      </c>
      <c r="AW539" s="360">
        <f t="shared" si="100"/>
        <v>0</v>
      </c>
      <c r="AX539" s="179"/>
      <c r="AY539" s="179"/>
      <c r="AZ539" s="179"/>
    </row>
    <row r="540" spans="1:52" s="104" customFormat="1" outlineLevel="1">
      <c r="A540" s="477" t="str">
        <f t="shared" si="105"/>
        <v>1</v>
      </c>
      <c r="D540" s="104" t="s">
        <v>1599</v>
      </c>
      <c r="L540" s="362" t="s">
        <v>122</v>
      </c>
      <c r="M540" s="363" t="s">
        <v>637</v>
      </c>
      <c r="N540" s="364" t="s">
        <v>352</v>
      </c>
      <c r="O540" s="365">
        <f>SUMIFS('ИП + источники'!P$17:P$89,'ИП + источники'!$A$17:$A$89,$A540,'ИП + источники'!$M$17:$M$89,"погашение займов и кредитов из нормативной прибыли")</f>
        <v>0</v>
      </c>
      <c r="P540" s="365">
        <f>SUMIFS('ИП + источники'!Q$17:Q$89,'ИП + источники'!$A$17:$A$89,$A540,'ИП + источники'!$M$17:$M$89,"погашение займов и кредитов из нормативной прибыли")</f>
        <v>0</v>
      </c>
      <c r="Q540" s="365">
        <f>SUMIFS('ИП + источники'!R$17:R$89,'ИП + источники'!$A$17:$A$89,$A540,'ИП + источники'!$M$17:$M$89,"погашение займов и кредитов из нормативной прибыли")</f>
        <v>0</v>
      </c>
      <c r="R540" s="366">
        <f t="shared" si="106"/>
        <v>0</v>
      </c>
      <c r="S540" s="365">
        <f>SUMIFS('ИП + источники'!T$17:T$89,'ИП + источники'!$A$17:$A$89,$A540,'ИП + источники'!$M$17:$M$89,"погашение займов и кредитов из нормативной прибыли")</f>
        <v>0</v>
      </c>
      <c r="T540" s="365">
        <f>SUMIFS('ИП + источники'!U$17:U$89,'ИП + источники'!$A$17:$A$89,$A540,'ИП + источники'!$M$17:$M$89,"погашение займов и кредитов из нормативной прибыли")</f>
        <v>0</v>
      </c>
      <c r="U540" s="365">
        <f>SUMIFS('ИП + источники'!V$17:V$89,'ИП + источники'!$A$17:$A$89,$A540,'ИП + источники'!$M$17:$M$89,"погашение займов и кредитов из нормативной прибыли")</f>
        <v>0</v>
      </c>
      <c r="V540" s="365">
        <f>SUMIFS('ИП + источники'!W$17:W$89,'ИП + источники'!$A$17:$A$89,$A540,'ИП + источники'!$M$17:$M$89,"погашение займов и кредитов из нормативной прибыли")</f>
        <v>0</v>
      </c>
      <c r="W540" s="365">
        <f>SUMIFS('ИП + источники'!X$17:X$89,'ИП + источники'!$A$17:$A$89,$A540,'ИП + источники'!$M$17:$M$89,"погашение займов и кредитов из нормативной прибыли")</f>
        <v>0</v>
      </c>
      <c r="X540" s="365">
        <f>SUMIFS('ИП + источники'!Y$17:Y$89,'ИП + источники'!$A$17:$A$89,$A540,'ИП + источники'!$M$17:$M$89,"погашение займов и кредитов из нормативной прибыли")</f>
        <v>0</v>
      </c>
      <c r="Y540" s="365">
        <f>SUMIFS('ИП + источники'!Z$17:Z$89,'ИП + источники'!$A$17:$A$89,$A540,'ИП + источники'!$M$17:$M$89,"погашение займов и кредитов из нормативной прибыли")</f>
        <v>0</v>
      </c>
      <c r="Z540" s="365">
        <f>SUMIFS('ИП + источники'!AA$17:AA$89,'ИП + источники'!$A$17:$A$89,$A540,'ИП + источники'!$M$17:$M$89,"погашение займов и кредитов из нормативной прибыли")</f>
        <v>0</v>
      </c>
      <c r="AA540" s="365">
        <f>SUMIFS('ИП + источники'!AB$17:AB$89,'ИП + источники'!$A$17:$A$89,$A540,'ИП + источники'!$M$17:$M$89,"погашение займов и кредитов из нормативной прибыли")</f>
        <v>0</v>
      </c>
      <c r="AB540" s="365">
        <f>SUMIFS('ИП + источники'!AC$17:AC$89,'ИП + источники'!$A$17:$A$89,$A540,'ИП + источники'!$M$17:$M$89,"погашение займов и кредитов из нормативной прибыли")</f>
        <v>0</v>
      </c>
      <c r="AC540" s="365">
        <f>SUMIFS('ИП + источники'!AD$17:AD$89,'ИП + источники'!$A$17:$A$89,$A540,'ИП + источники'!$M$17:$M$89,"погашение займов и кредитов из нормативной прибыли")</f>
        <v>0</v>
      </c>
      <c r="AD540" s="365">
        <f>SUMIFS('ИП + источники'!AE$17:AE$89,'ИП + источники'!$A$17:$A$89,$A540,'ИП + источники'!$M$17:$M$89,"погашение займов и кредитов из нормативной прибыли")</f>
        <v>0</v>
      </c>
      <c r="AE540" s="365">
        <f>SUMIFS('ИП + источники'!AF$17:AF$89,'ИП + источники'!$A$17:$A$89,$A540,'ИП + источники'!$M$17:$M$89,"погашение займов и кредитов из нормативной прибыли")</f>
        <v>0</v>
      </c>
      <c r="AF540" s="365">
        <f>SUMIFS('ИП + источники'!AG$17:AG$89,'ИП + источники'!$A$17:$A$89,$A540,'ИП + источники'!$M$17:$M$89,"погашение займов и кредитов из нормативной прибыли")</f>
        <v>0</v>
      </c>
      <c r="AG540" s="365">
        <f>SUMIFS('ИП + источники'!AH$17:AH$89,'ИП + источники'!$A$17:$A$89,$A540,'ИП + источники'!$M$17:$M$89,"погашение займов и кредитов из нормативной прибыли")</f>
        <v>0</v>
      </c>
      <c r="AH540" s="365">
        <f>SUMIFS('ИП + источники'!AI$17:AI$89,'ИП + источники'!$A$17:$A$89,$A540,'ИП + источники'!$M$17:$M$89,"погашение займов и кредитов из нормативной прибыли")</f>
        <v>0</v>
      </c>
      <c r="AI540" s="365">
        <f>SUMIFS('ИП + источники'!AJ$17:AJ$89,'ИП + источники'!$A$17:$A$89,$A540,'ИП + источники'!$M$17:$M$89,"погашение займов и кредитов из нормативной прибыли")</f>
        <v>0</v>
      </c>
      <c r="AJ540" s="365">
        <f>SUMIFS('ИП + источники'!AK$17:AK$89,'ИП + источники'!$A$17:$A$89,$A540,'ИП + источники'!$M$17:$M$89,"погашение займов и кредитов из нормативной прибыли")</f>
        <v>0</v>
      </c>
      <c r="AK540" s="365">
        <f>SUMIFS('ИП + источники'!AL$17:AL$89,'ИП + источники'!$A$17:$A$89,$A540,'ИП + источники'!$M$17:$M$89,"погашение займов и кредитов из нормативной прибыли")</f>
        <v>0</v>
      </c>
      <c r="AL540" s="365">
        <f>SUMIFS('ИП + источники'!AM$17:AM$89,'ИП + источники'!$A$17:$A$89,$A540,'ИП + источники'!$M$17:$M$89,"погашение займов и кредитов из нормативной прибыли")</f>
        <v>0</v>
      </c>
      <c r="AM540" s="365">
        <f>SUMIFS('ИП + источники'!AN$17:AN$89,'ИП + источники'!$A$17:$A$89,$A540,'ИП + источники'!$M$17:$M$89,"погашение займов и кредитов из нормативной прибыли")</f>
        <v>0</v>
      </c>
      <c r="AN540" s="366">
        <f t="shared" si="91"/>
        <v>0</v>
      </c>
      <c r="AO540" s="366">
        <f t="shared" si="102"/>
        <v>0</v>
      </c>
      <c r="AP540" s="366">
        <f t="shared" si="93"/>
        <v>0</v>
      </c>
      <c r="AQ540" s="366">
        <f t="shared" si="94"/>
        <v>0</v>
      </c>
      <c r="AR540" s="366">
        <f t="shared" si="95"/>
        <v>0</v>
      </c>
      <c r="AS540" s="366">
        <f t="shared" si="96"/>
        <v>0</v>
      </c>
      <c r="AT540" s="366">
        <f t="shared" si="97"/>
        <v>0</v>
      </c>
      <c r="AU540" s="366">
        <f t="shared" si="98"/>
        <v>0</v>
      </c>
      <c r="AV540" s="366">
        <f t="shared" si="99"/>
        <v>0</v>
      </c>
      <c r="AW540" s="366">
        <f t="shared" si="100"/>
        <v>0</v>
      </c>
      <c r="AX540" s="179"/>
      <c r="AY540" s="179"/>
      <c r="AZ540" s="179"/>
    </row>
    <row r="541" spans="1:52" s="104" customFormat="1" outlineLevel="1">
      <c r="A541" s="477" t="str">
        <f t="shared" si="105"/>
        <v>1</v>
      </c>
      <c r="D541" s="104" t="s">
        <v>1600</v>
      </c>
      <c r="L541" s="362" t="s">
        <v>123</v>
      </c>
      <c r="M541" s="363" t="s">
        <v>638</v>
      </c>
      <c r="N541" s="364" t="s">
        <v>352</v>
      </c>
      <c r="O541" s="365">
        <f>SUMIFS('ИП + источники'!P$17:P$89,'ИП + источники'!$A$17:$A$89,$A541,'ИП + источники'!$M$17:$M$89,"уплата процентов по кредитам из нормативной прибыли")</f>
        <v>0</v>
      </c>
      <c r="P541" s="365">
        <f>SUMIFS('ИП + источники'!Q$17:Q$89,'ИП + источники'!$A$17:$A$89,$A541,'ИП + источники'!$M$17:$M$89,"уплата процентов по кредитам из нормативной прибыли")</f>
        <v>0</v>
      </c>
      <c r="Q541" s="365">
        <f>SUMIFS('ИП + источники'!R$17:R$89,'ИП + источники'!$A$17:$A$89,$A541,'ИП + источники'!$M$17:$M$89,"уплата процентов по кредитам из нормативной прибыли")</f>
        <v>0</v>
      </c>
      <c r="R541" s="366">
        <f t="shared" si="106"/>
        <v>0</v>
      </c>
      <c r="S541" s="365">
        <f>SUMIFS('ИП + источники'!T$17:T$89,'ИП + источники'!$A$17:$A$89,$A541,'ИП + источники'!$M$17:$M$89,"уплата процентов по кредитам из нормативной прибыли")</f>
        <v>0</v>
      </c>
      <c r="T541" s="365">
        <f>SUMIFS('ИП + источники'!U$17:U$89,'ИП + источники'!$A$17:$A$89,$A541,'ИП + источники'!$M$17:$M$89,"уплата процентов по кредитам из нормативной прибыли")</f>
        <v>0</v>
      </c>
      <c r="U541" s="365">
        <f>SUMIFS('ИП + источники'!V$17:V$89,'ИП + источники'!$A$17:$A$89,$A541,'ИП + источники'!$M$17:$M$89,"уплата процентов по кредитам из нормативной прибыли")</f>
        <v>0</v>
      </c>
      <c r="V541" s="365">
        <f>SUMIFS('ИП + источники'!W$17:W$89,'ИП + источники'!$A$17:$A$89,$A541,'ИП + источники'!$M$17:$M$89,"уплата процентов по кредитам из нормативной прибыли")</f>
        <v>0</v>
      </c>
      <c r="W541" s="365">
        <f>SUMIFS('ИП + источники'!X$17:X$89,'ИП + источники'!$A$17:$A$89,$A541,'ИП + источники'!$M$17:$M$89,"уплата процентов по кредитам из нормативной прибыли")</f>
        <v>0</v>
      </c>
      <c r="X541" s="365">
        <f>SUMIFS('ИП + источники'!Y$17:Y$89,'ИП + источники'!$A$17:$A$89,$A541,'ИП + источники'!$M$17:$M$89,"уплата процентов по кредитам из нормативной прибыли")</f>
        <v>0</v>
      </c>
      <c r="Y541" s="365">
        <f>SUMIFS('ИП + источники'!Z$17:Z$89,'ИП + источники'!$A$17:$A$89,$A541,'ИП + источники'!$M$17:$M$89,"уплата процентов по кредитам из нормативной прибыли")</f>
        <v>0</v>
      </c>
      <c r="Z541" s="365">
        <f>SUMIFS('ИП + источники'!AA$17:AA$89,'ИП + источники'!$A$17:$A$89,$A541,'ИП + источники'!$M$17:$M$89,"уплата процентов по кредитам из нормативной прибыли")</f>
        <v>0</v>
      </c>
      <c r="AA541" s="365">
        <f>SUMIFS('ИП + источники'!AB$17:AB$89,'ИП + источники'!$A$17:$A$89,$A541,'ИП + источники'!$M$17:$M$89,"уплата процентов по кредитам из нормативной прибыли")</f>
        <v>0</v>
      </c>
      <c r="AB541" s="365">
        <f>SUMIFS('ИП + источники'!AC$17:AC$89,'ИП + источники'!$A$17:$A$89,$A541,'ИП + источники'!$M$17:$M$89,"уплата процентов по кредитам из нормативной прибыли")</f>
        <v>0</v>
      </c>
      <c r="AC541" s="365">
        <f>SUMIFS('ИП + источники'!AD$17:AD$89,'ИП + источники'!$A$17:$A$89,$A541,'ИП + источники'!$M$17:$M$89,"уплата процентов по кредитам из нормативной прибыли")</f>
        <v>0</v>
      </c>
      <c r="AD541" s="365">
        <f>SUMIFS('ИП + источники'!AE$17:AE$89,'ИП + источники'!$A$17:$A$89,$A541,'ИП + источники'!$M$17:$M$89,"уплата процентов по кредитам из нормативной прибыли")</f>
        <v>0</v>
      </c>
      <c r="AE541" s="365">
        <f>SUMIFS('ИП + источники'!AF$17:AF$89,'ИП + источники'!$A$17:$A$89,$A541,'ИП + источники'!$M$17:$M$89,"уплата процентов по кредитам из нормативной прибыли")</f>
        <v>0</v>
      </c>
      <c r="AF541" s="365">
        <f>SUMIFS('ИП + источники'!AG$17:AG$89,'ИП + источники'!$A$17:$A$89,$A541,'ИП + источники'!$M$17:$M$89,"уплата процентов по кредитам из нормативной прибыли")</f>
        <v>0</v>
      </c>
      <c r="AG541" s="365">
        <f>SUMIFS('ИП + источники'!AH$17:AH$89,'ИП + источники'!$A$17:$A$89,$A541,'ИП + источники'!$M$17:$M$89,"уплата процентов по кредитам из нормативной прибыли")</f>
        <v>0</v>
      </c>
      <c r="AH541" s="365">
        <f>SUMIFS('ИП + источники'!AI$17:AI$89,'ИП + источники'!$A$17:$A$89,$A541,'ИП + источники'!$M$17:$M$89,"уплата процентов по кредитам из нормативной прибыли")</f>
        <v>0</v>
      </c>
      <c r="AI541" s="365">
        <f>SUMIFS('ИП + источники'!AJ$17:AJ$89,'ИП + источники'!$A$17:$A$89,$A541,'ИП + источники'!$M$17:$M$89,"уплата процентов по кредитам из нормативной прибыли")</f>
        <v>0</v>
      </c>
      <c r="AJ541" s="365">
        <f>SUMIFS('ИП + источники'!AK$17:AK$89,'ИП + источники'!$A$17:$A$89,$A541,'ИП + источники'!$M$17:$M$89,"уплата процентов по кредитам из нормативной прибыли")</f>
        <v>0</v>
      </c>
      <c r="AK541" s="365">
        <f>SUMIFS('ИП + источники'!AL$17:AL$89,'ИП + источники'!$A$17:$A$89,$A541,'ИП + источники'!$M$17:$M$89,"уплата процентов по кредитам из нормативной прибыли")</f>
        <v>0</v>
      </c>
      <c r="AL541" s="365">
        <f>SUMIFS('ИП + источники'!AM$17:AM$89,'ИП + источники'!$A$17:$A$89,$A541,'ИП + источники'!$M$17:$M$89,"уплата процентов по кредитам из нормативной прибыли")</f>
        <v>0</v>
      </c>
      <c r="AM541" s="365">
        <f>SUMIFS('ИП + источники'!AN$17:AN$89,'ИП + источники'!$A$17:$A$89,$A541,'ИП + источники'!$M$17:$M$89,"уплата процентов по кредитам из нормативной прибыли")</f>
        <v>0</v>
      </c>
      <c r="AN541" s="366">
        <f t="shared" si="91"/>
        <v>0</v>
      </c>
      <c r="AO541" s="366">
        <f t="shared" si="102"/>
        <v>0</v>
      </c>
      <c r="AP541" s="366">
        <f t="shared" si="93"/>
        <v>0</v>
      </c>
      <c r="AQ541" s="366">
        <f t="shared" si="94"/>
        <v>0</v>
      </c>
      <c r="AR541" s="366">
        <f t="shared" si="95"/>
        <v>0</v>
      </c>
      <c r="AS541" s="366">
        <f t="shared" si="96"/>
        <v>0</v>
      </c>
      <c r="AT541" s="366">
        <f t="shared" si="97"/>
        <v>0</v>
      </c>
      <c r="AU541" s="366">
        <f t="shared" si="98"/>
        <v>0</v>
      </c>
      <c r="AV541" s="366">
        <f t="shared" si="99"/>
        <v>0</v>
      </c>
      <c r="AW541" s="366">
        <f t="shared" si="100"/>
        <v>0</v>
      </c>
      <c r="AX541" s="179"/>
      <c r="AY541" s="179"/>
      <c r="AZ541" s="179"/>
    </row>
    <row r="542" spans="1:52" s="104" customFormat="1" outlineLevel="1">
      <c r="A542" s="477" t="str">
        <f t="shared" si="105"/>
        <v>1</v>
      </c>
      <c r="D542" s="104" t="s">
        <v>1601</v>
      </c>
      <c r="L542" s="362" t="s">
        <v>378</v>
      </c>
      <c r="M542" s="363" t="s">
        <v>639</v>
      </c>
      <c r="N542" s="364" t="s">
        <v>352</v>
      </c>
      <c r="O542" s="365">
        <f>SUMIFS('ИП + источники'!P$17:P$89,'ИП + источники'!$A$17:$A$89,$A542,'ИП + источники'!$M$17:$M$89,"Прибыль на капвложения")</f>
        <v>0</v>
      </c>
      <c r="P542" s="365">
        <f>SUMIFS('ИП + источники'!Q$17:Q$89,'ИП + источники'!$A$17:$A$89,$A542,'ИП + источники'!$M$17:$M$89,"Прибыль на капвложения")</f>
        <v>0</v>
      </c>
      <c r="Q542" s="365">
        <f>SUMIFS('ИП + источники'!R$17:R$89,'ИП + источники'!$A$17:$A$89,$A542,'ИП + источники'!$M$17:$M$89,"Прибыль на капвложения")</f>
        <v>0</v>
      </c>
      <c r="R542" s="366">
        <f t="shared" si="106"/>
        <v>0</v>
      </c>
      <c r="S542" s="365">
        <f>SUMIFS('ИП + источники'!T$17:T$89,'ИП + источники'!$A$17:$A$89,$A542,'ИП + источники'!$M$17:$M$89,"Прибыль на капвложения")</f>
        <v>0</v>
      </c>
      <c r="T542" s="365">
        <f>SUMIFS('ИП + источники'!U$17:U$89,'ИП + источники'!$A$17:$A$89,$A542,'ИП + источники'!$M$17:$M$89,"Прибыль на капвложения")</f>
        <v>0</v>
      </c>
      <c r="U542" s="365">
        <f>SUMIFS('ИП + источники'!V$17:V$89,'ИП + источники'!$A$17:$A$89,$A542,'ИП + источники'!$M$17:$M$89,"Прибыль на капвложения")</f>
        <v>0</v>
      </c>
      <c r="V542" s="365">
        <f>SUMIFS('ИП + источники'!W$17:W$89,'ИП + источники'!$A$17:$A$89,$A542,'ИП + источники'!$M$17:$M$89,"Прибыль на капвложения")</f>
        <v>0</v>
      </c>
      <c r="W542" s="365">
        <f>SUMIFS('ИП + источники'!X$17:X$89,'ИП + источники'!$A$17:$A$89,$A542,'ИП + источники'!$M$17:$M$89,"Прибыль на капвложения")</f>
        <v>0</v>
      </c>
      <c r="X542" s="365">
        <f>SUMIFS('ИП + источники'!Y$17:Y$89,'ИП + источники'!$A$17:$A$89,$A542,'ИП + источники'!$M$17:$M$89,"Прибыль на капвложения")</f>
        <v>0</v>
      </c>
      <c r="Y542" s="365">
        <f>SUMIFS('ИП + источники'!Z$17:Z$89,'ИП + источники'!$A$17:$A$89,$A542,'ИП + источники'!$M$17:$M$89,"Прибыль на капвложения")</f>
        <v>0</v>
      </c>
      <c r="Z542" s="365">
        <f>SUMIFS('ИП + источники'!AA$17:AA$89,'ИП + источники'!$A$17:$A$89,$A542,'ИП + источники'!$M$17:$M$89,"Прибыль на капвложения")</f>
        <v>0</v>
      </c>
      <c r="AA542" s="365">
        <f>SUMIFS('ИП + источники'!AB$17:AB$89,'ИП + источники'!$A$17:$A$89,$A542,'ИП + источники'!$M$17:$M$89,"Прибыль на капвложения")</f>
        <v>0</v>
      </c>
      <c r="AB542" s="365">
        <f>SUMIFS('ИП + источники'!AC$17:AC$89,'ИП + источники'!$A$17:$A$89,$A542,'ИП + источники'!$M$17:$M$89,"Прибыль на капвложения")</f>
        <v>0</v>
      </c>
      <c r="AC542" s="365">
        <f>SUMIFS('ИП + источники'!AD$17:AD$89,'ИП + источники'!$A$17:$A$89,$A542,'ИП + источники'!$M$17:$M$89,"Прибыль на капвложения")</f>
        <v>0</v>
      </c>
      <c r="AD542" s="365">
        <f>SUMIFS('ИП + источники'!AE$17:AE$89,'ИП + источники'!$A$17:$A$89,$A542,'ИП + источники'!$M$17:$M$89,"Прибыль на капвложения")</f>
        <v>0</v>
      </c>
      <c r="AE542" s="365">
        <f>SUMIFS('ИП + источники'!AF$17:AF$89,'ИП + источники'!$A$17:$A$89,$A542,'ИП + источники'!$M$17:$M$89,"Прибыль на капвложения")</f>
        <v>0</v>
      </c>
      <c r="AF542" s="365">
        <f>SUMIFS('ИП + источники'!AG$17:AG$89,'ИП + источники'!$A$17:$A$89,$A542,'ИП + источники'!$M$17:$M$89,"Прибыль на капвложения")</f>
        <v>0</v>
      </c>
      <c r="AG542" s="365">
        <f>SUMIFS('ИП + источники'!AH$17:AH$89,'ИП + источники'!$A$17:$A$89,$A542,'ИП + источники'!$M$17:$M$89,"Прибыль на капвложения")</f>
        <v>0</v>
      </c>
      <c r="AH542" s="365">
        <f>SUMIFS('ИП + источники'!AI$17:AI$89,'ИП + источники'!$A$17:$A$89,$A542,'ИП + источники'!$M$17:$M$89,"Прибыль на капвложения")</f>
        <v>0</v>
      </c>
      <c r="AI542" s="365">
        <f>SUMIFS('ИП + источники'!AJ$17:AJ$89,'ИП + источники'!$A$17:$A$89,$A542,'ИП + источники'!$M$17:$M$89,"Прибыль на капвложения")</f>
        <v>0</v>
      </c>
      <c r="AJ542" s="365">
        <f>SUMIFS('ИП + источники'!AK$17:AK$89,'ИП + источники'!$A$17:$A$89,$A542,'ИП + источники'!$M$17:$M$89,"Прибыль на капвложения")</f>
        <v>0</v>
      </c>
      <c r="AK542" s="365">
        <f>SUMIFS('ИП + источники'!AL$17:AL$89,'ИП + источники'!$A$17:$A$89,$A542,'ИП + источники'!$M$17:$M$89,"Прибыль на капвложения")</f>
        <v>0</v>
      </c>
      <c r="AL542" s="365">
        <f>SUMIFS('ИП + источники'!AM$17:AM$89,'ИП + источники'!$A$17:$A$89,$A542,'ИП + источники'!$M$17:$M$89,"Прибыль на капвложения")</f>
        <v>0</v>
      </c>
      <c r="AM542" s="365">
        <f>SUMIFS('ИП + источники'!AN$17:AN$89,'ИП + источники'!$A$17:$A$89,$A542,'ИП + источники'!$M$17:$M$89,"Прибыль на капвложения")</f>
        <v>0</v>
      </c>
      <c r="AN542" s="366">
        <f t="shared" si="91"/>
        <v>0</v>
      </c>
      <c r="AO542" s="366">
        <f t="shared" si="102"/>
        <v>0</v>
      </c>
      <c r="AP542" s="366">
        <f t="shared" si="93"/>
        <v>0</v>
      </c>
      <c r="AQ542" s="366">
        <f t="shared" si="94"/>
        <v>0</v>
      </c>
      <c r="AR542" s="366">
        <f t="shared" si="95"/>
        <v>0</v>
      </c>
      <c r="AS542" s="366">
        <f t="shared" si="96"/>
        <v>0</v>
      </c>
      <c r="AT542" s="366">
        <f t="shared" si="97"/>
        <v>0</v>
      </c>
      <c r="AU542" s="366">
        <f t="shared" si="98"/>
        <v>0</v>
      </c>
      <c r="AV542" s="366">
        <f t="shared" si="99"/>
        <v>0</v>
      </c>
      <c r="AW542" s="366">
        <f t="shared" si="100"/>
        <v>0</v>
      </c>
      <c r="AX542" s="179"/>
      <c r="AY542" s="179"/>
      <c r="AZ542" s="179"/>
    </row>
    <row r="543" spans="1:52" s="104" customFormat="1" ht="34.200000000000003" outlineLevel="1">
      <c r="A543" s="477" t="str">
        <f t="shared" si="105"/>
        <v>1</v>
      </c>
      <c r="B543" s="104" t="s">
        <v>1363</v>
      </c>
      <c r="D543" s="104" t="s">
        <v>1602</v>
      </c>
      <c r="L543" s="362" t="s">
        <v>379</v>
      </c>
      <c r="M543" s="363" t="s">
        <v>640</v>
      </c>
      <c r="N543" s="364" t="s">
        <v>352</v>
      </c>
      <c r="O543" s="365"/>
      <c r="P543" s="365"/>
      <c r="Q543" s="365"/>
      <c r="R543" s="366">
        <f t="shared" si="106"/>
        <v>0</v>
      </c>
      <c r="S543" s="365"/>
      <c r="T543" s="365"/>
      <c r="U543" s="365"/>
      <c r="V543" s="365"/>
      <c r="W543" s="365"/>
      <c r="X543" s="365"/>
      <c r="Y543" s="365"/>
      <c r="Z543" s="365"/>
      <c r="AA543" s="365"/>
      <c r="AB543" s="365"/>
      <c r="AC543" s="365"/>
      <c r="AD543" s="365"/>
      <c r="AE543" s="365"/>
      <c r="AF543" s="365"/>
      <c r="AG543" s="365"/>
      <c r="AH543" s="365"/>
      <c r="AI543" s="365"/>
      <c r="AJ543" s="365"/>
      <c r="AK543" s="365"/>
      <c r="AL543" s="365"/>
      <c r="AM543" s="365"/>
      <c r="AN543" s="366">
        <f t="shared" si="91"/>
        <v>0</v>
      </c>
      <c r="AO543" s="366">
        <f t="shared" si="102"/>
        <v>0</v>
      </c>
      <c r="AP543" s="366">
        <f t="shared" si="93"/>
        <v>0</v>
      </c>
      <c r="AQ543" s="366">
        <f t="shared" si="94"/>
        <v>0</v>
      </c>
      <c r="AR543" s="366">
        <f t="shared" si="95"/>
        <v>0</v>
      </c>
      <c r="AS543" s="366">
        <f t="shared" si="96"/>
        <v>0</v>
      </c>
      <c r="AT543" s="366">
        <f t="shared" si="97"/>
        <v>0</v>
      </c>
      <c r="AU543" s="366">
        <f t="shared" si="98"/>
        <v>0</v>
      </c>
      <c r="AV543" s="366">
        <f t="shared" si="99"/>
        <v>0</v>
      </c>
      <c r="AW543" s="366">
        <f t="shared" si="100"/>
        <v>0</v>
      </c>
      <c r="AX543" s="179"/>
      <c r="AY543" s="179"/>
      <c r="AZ543" s="179"/>
    </row>
    <row r="544" spans="1:52" s="104" customFormat="1" ht="22.8" outlineLevel="1">
      <c r="A544" s="477" t="str">
        <f t="shared" si="105"/>
        <v>1</v>
      </c>
      <c r="B544" s="104" t="s">
        <v>641</v>
      </c>
      <c r="D544" s="104" t="s">
        <v>1448</v>
      </c>
      <c r="L544" s="362" t="s">
        <v>124</v>
      </c>
      <c r="M544" s="299" t="s">
        <v>641</v>
      </c>
      <c r="N544" s="364" t="s">
        <v>352</v>
      </c>
      <c r="O544" s="365"/>
      <c r="P544" s="365"/>
      <c r="Q544" s="365"/>
      <c r="R544" s="366">
        <f t="shared" si="106"/>
        <v>0</v>
      </c>
      <c r="S544" s="365"/>
      <c r="T544" s="365"/>
      <c r="U544" s="365"/>
      <c r="V544" s="365"/>
      <c r="W544" s="365"/>
      <c r="X544" s="365"/>
      <c r="Y544" s="365"/>
      <c r="Z544" s="365"/>
      <c r="AA544" s="365"/>
      <c r="AB544" s="365"/>
      <c r="AC544" s="365"/>
      <c r="AD544" s="365"/>
      <c r="AE544" s="365"/>
      <c r="AF544" s="365"/>
      <c r="AG544" s="365"/>
      <c r="AH544" s="365"/>
      <c r="AI544" s="365"/>
      <c r="AJ544" s="365"/>
      <c r="AK544" s="365"/>
      <c r="AL544" s="365"/>
      <c r="AM544" s="365"/>
      <c r="AN544" s="366">
        <f t="shared" si="91"/>
        <v>0</v>
      </c>
      <c r="AO544" s="366">
        <f t="shared" si="102"/>
        <v>0</v>
      </c>
      <c r="AP544" s="366">
        <f t="shared" si="93"/>
        <v>0</v>
      </c>
      <c r="AQ544" s="366">
        <f t="shared" si="94"/>
        <v>0</v>
      </c>
      <c r="AR544" s="366">
        <f t="shared" si="95"/>
        <v>0</v>
      </c>
      <c r="AS544" s="366">
        <f t="shared" si="96"/>
        <v>0</v>
      </c>
      <c r="AT544" s="366">
        <f t="shared" si="97"/>
        <v>0</v>
      </c>
      <c r="AU544" s="366">
        <f t="shared" si="98"/>
        <v>0</v>
      </c>
      <c r="AV544" s="366">
        <f t="shared" si="99"/>
        <v>0</v>
      </c>
      <c r="AW544" s="366">
        <f t="shared" si="100"/>
        <v>0</v>
      </c>
      <c r="AX544" s="179"/>
      <c r="AY544" s="179"/>
      <c r="AZ544" s="179"/>
    </row>
    <row r="545" spans="1:52" s="109" customFormat="1" outlineLevel="1">
      <c r="A545" s="477" t="str">
        <f t="shared" si="105"/>
        <v>1</v>
      </c>
      <c r="B545" s="104" t="s">
        <v>1460</v>
      </c>
      <c r="C545" s="104"/>
      <c r="D545" s="534" t="s">
        <v>1463</v>
      </c>
      <c r="L545" s="381" t="s">
        <v>125</v>
      </c>
      <c r="M545" s="535" t="s">
        <v>1462</v>
      </c>
      <c r="N545" s="382" t="s">
        <v>352</v>
      </c>
      <c r="O545" s="386"/>
      <c r="P545" s="386"/>
      <c r="Q545" s="386"/>
      <c r="R545" s="360">
        <f t="shared" si="106"/>
        <v>0</v>
      </c>
      <c r="S545" s="386"/>
      <c r="T545" s="365">
        <f>SUMIFS('Корректировка НВВ'!$P$15:$P$104,'Корректировка НВВ'!$A$15:$A$104,$A545,'Корректировка НВВ'!$D$15:$D$104,$B545)</f>
        <v>0</v>
      </c>
      <c r="U545" s="386"/>
      <c r="V545" s="386"/>
      <c r="W545" s="386"/>
      <c r="X545" s="386"/>
      <c r="Y545" s="386"/>
      <c r="Z545" s="386"/>
      <c r="AA545" s="386"/>
      <c r="AB545" s="386"/>
      <c r="AC545" s="386"/>
      <c r="AD545" s="365">
        <f>SUMIFS('Корректировка НВВ'!$Q$15:$Q$104,'Корректировка НВВ'!$A$15:$A$104,$A545,'Корректировка НВВ'!$D$15:$D$104,$B545)</f>
        <v>-201.42088074781554</v>
      </c>
      <c r="AE545" s="386"/>
      <c r="AF545" s="386"/>
      <c r="AG545" s="386"/>
      <c r="AH545" s="386"/>
      <c r="AI545" s="386"/>
      <c r="AJ545" s="386"/>
      <c r="AK545" s="386"/>
      <c r="AL545" s="386"/>
      <c r="AM545" s="386"/>
      <c r="AN545" s="360">
        <f t="shared" si="91"/>
        <v>0</v>
      </c>
      <c r="AO545" s="360">
        <f t="shared" si="102"/>
        <v>-100</v>
      </c>
      <c r="AP545" s="360">
        <f t="shared" ref="AP545:AW545" si="109">IF(AE545=0,0,(AF545-AE545)/AE545*100)</f>
        <v>0</v>
      </c>
      <c r="AQ545" s="360">
        <f t="shared" si="109"/>
        <v>0</v>
      </c>
      <c r="AR545" s="360">
        <f t="shared" si="109"/>
        <v>0</v>
      </c>
      <c r="AS545" s="360">
        <f t="shared" si="109"/>
        <v>0</v>
      </c>
      <c r="AT545" s="360">
        <f t="shared" si="109"/>
        <v>0</v>
      </c>
      <c r="AU545" s="360">
        <f t="shared" si="109"/>
        <v>0</v>
      </c>
      <c r="AV545" s="360">
        <f t="shared" si="109"/>
        <v>0</v>
      </c>
      <c r="AW545" s="360">
        <f t="shared" si="109"/>
        <v>0</v>
      </c>
      <c r="AX545" s="467"/>
      <c r="AY545" s="467"/>
      <c r="AZ545" s="467"/>
    </row>
    <row r="546" spans="1:52" s="104" customFormat="1" outlineLevel="1">
      <c r="A546" s="477" t="str">
        <f t="shared" si="105"/>
        <v>1</v>
      </c>
      <c r="L546" s="362"/>
      <c r="M546" s="299" t="s">
        <v>1464</v>
      </c>
      <c r="N546" s="364"/>
      <c r="O546" s="479"/>
      <c r="P546" s="479"/>
      <c r="Q546" s="479"/>
      <c r="R546" s="479"/>
      <c r="S546" s="479"/>
      <c r="T546" s="479"/>
      <c r="U546" s="479"/>
      <c r="V546" s="479"/>
      <c r="W546" s="479"/>
      <c r="X546" s="479"/>
      <c r="Y546" s="479"/>
      <c r="Z546" s="479"/>
      <c r="AA546" s="479"/>
      <c r="AB546" s="479"/>
      <c r="AC546" s="479"/>
      <c r="AD546" s="479"/>
      <c r="AE546" s="479"/>
      <c r="AF546" s="479"/>
      <c r="AG546" s="479"/>
      <c r="AH546" s="479"/>
      <c r="AI546" s="479"/>
      <c r="AJ546" s="479"/>
      <c r="AK546" s="479"/>
      <c r="AL546" s="479"/>
      <c r="AM546" s="479"/>
      <c r="AN546" s="479"/>
      <c r="AO546" s="479"/>
      <c r="AP546" s="479"/>
      <c r="AQ546" s="479"/>
      <c r="AR546" s="479"/>
      <c r="AS546" s="479"/>
      <c r="AT546" s="479"/>
      <c r="AU546" s="479"/>
      <c r="AV546" s="479"/>
      <c r="AW546" s="479"/>
      <c r="AX546" s="480"/>
      <c r="AY546" s="480"/>
      <c r="AZ546" s="480"/>
    </row>
    <row r="547" spans="1:52" s="104" customFormat="1" ht="34.200000000000003" outlineLevel="1">
      <c r="A547" s="477" t="str">
        <f t="shared" si="105"/>
        <v>1</v>
      </c>
      <c r="B547" s="104" t="s">
        <v>1442</v>
      </c>
      <c r="D547" s="104" t="s">
        <v>1450</v>
      </c>
      <c r="L547" s="362" t="s">
        <v>181</v>
      </c>
      <c r="M547" s="363" t="s">
        <v>642</v>
      </c>
      <c r="N547" s="364" t="s">
        <v>352</v>
      </c>
      <c r="O547" s="365"/>
      <c r="P547" s="365"/>
      <c r="Q547" s="365"/>
      <c r="R547" s="366">
        <f t="shared" si="106"/>
        <v>0</v>
      </c>
      <c r="S547" s="365"/>
      <c r="T547" s="365">
        <f>SUMIFS('Корректировка НВВ'!$P$15:$P$104,'Корректировка НВВ'!$A$15:$A$104,$A547,'Корректировка НВВ'!$D$15:$D$104,$B547)</f>
        <v>0</v>
      </c>
      <c r="U547" s="365"/>
      <c r="V547" s="365"/>
      <c r="W547" s="365"/>
      <c r="X547" s="365"/>
      <c r="Y547" s="365"/>
      <c r="Z547" s="365"/>
      <c r="AA547" s="365"/>
      <c r="AB547" s="365"/>
      <c r="AC547" s="365"/>
      <c r="AD547" s="365">
        <f>SUMIFS('Корректировка НВВ'!$Q$15:$Q$104,'Корректировка НВВ'!$A$15:$A$104,$A547,'Корректировка НВВ'!$D$15:$D$104,$B547)</f>
        <v>0</v>
      </c>
      <c r="AE547" s="365"/>
      <c r="AF547" s="365"/>
      <c r="AG547" s="365"/>
      <c r="AH547" s="365"/>
      <c r="AI547" s="365"/>
      <c r="AJ547" s="365"/>
      <c r="AK547" s="365"/>
      <c r="AL547" s="365"/>
      <c r="AM547" s="365"/>
      <c r="AN547" s="479"/>
      <c r="AO547" s="479"/>
      <c r="AP547" s="479"/>
      <c r="AQ547" s="479"/>
      <c r="AR547" s="479"/>
      <c r="AS547" s="479"/>
      <c r="AT547" s="479"/>
      <c r="AU547" s="479"/>
      <c r="AV547" s="479"/>
      <c r="AW547" s="479"/>
      <c r="AX547" s="179"/>
      <c r="AY547" s="179"/>
      <c r="AZ547" s="179"/>
    </row>
    <row r="548" spans="1:52" s="104" customFormat="1" ht="136.80000000000001" outlineLevel="1">
      <c r="A548" s="477" t="str">
        <f t="shared" si="105"/>
        <v>1</v>
      </c>
      <c r="B548" s="104" t="s">
        <v>1444</v>
      </c>
      <c r="D548" s="104" t="s">
        <v>1452</v>
      </c>
      <c r="L548" s="362" t="s">
        <v>182</v>
      </c>
      <c r="M548" s="363" t="s">
        <v>643</v>
      </c>
      <c r="N548" s="364" t="s">
        <v>352</v>
      </c>
      <c r="O548" s="365"/>
      <c r="P548" s="365"/>
      <c r="Q548" s="365"/>
      <c r="R548" s="366">
        <f t="shared" si="106"/>
        <v>0</v>
      </c>
      <c r="S548" s="365"/>
      <c r="T548" s="365">
        <f>SUMIFS('Корректировка НВВ'!$P$15:$P$104,'Корректировка НВВ'!$A$15:$A$104,$A548,'Корректировка НВВ'!$D$15:$D$104,$B548)</f>
        <v>0</v>
      </c>
      <c r="U548" s="365"/>
      <c r="V548" s="365"/>
      <c r="W548" s="365"/>
      <c r="X548" s="365"/>
      <c r="Y548" s="365"/>
      <c r="Z548" s="365"/>
      <c r="AA548" s="365"/>
      <c r="AB548" s="365"/>
      <c r="AC548" s="365"/>
      <c r="AD548" s="365">
        <f>SUMIFS('Корректировка НВВ'!$Q$15:$Q$104,'Корректировка НВВ'!$A$15:$A$104,$A548,'Корректировка НВВ'!$D$15:$D$104,$B548)</f>
        <v>0</v>
      </c>
      <c r="AE548" s="365"/>
      <c r="AF548" s="365"/>
      <c r="AG548" s="365"/>
      <c r="AH548" s="365"/>
      <c r="AI548" s="365"/>
      <c r="AJ548" s="365"/>
      <c r="AK548" s="365"/>
      <c r="AL548" s="365"/>
      <c r="AM548" s="365"/>
      <c r="AN548" s="479"/>
      <c r="AO548" s="479"/>
      <c r="AP548" s="479"/>
      <c r="AQ548" s="479"/>
      <c r="AR548" s="479"/>
      <c r="AS548" s="479"/>
      <c r="AT548" s="479"/>
      <c r="AU548" s="479"/>
      <c r="AV548" s="479"/>
      <c r="AW548" s="479"/>
      <c r="AX548" s="179"/>
      <c r="AY548" s="179"/>
      <c r="AZ548" s="179"/>
    </row>
    <row r="549" spans="1:52" s="104" customFormat="1" ht="57" outlineLevel="1">
      <c r="A549" s="477" t="str">
        <f t="shared" si="105"/>
        <v>1</v>
      </c>
      <c r="D549" s="104" t="s">
        <v>1456</v>
      </c>
      <c r="L549" s="362" t="s">
        <v>386</v>
      </c>
      <c r="M549" s="363" t="s">
        <v>1195</v>
      </c>
      <c r="N549" s="364" t="s">
        <v>352</v>
      </c>
      <c r="O549" s="365"/>
      <c r="P549" s="365"/>
      <c r="Q549" s="365"/>
      <c r="R549" s="366">
        <f t="shared" si="106"/>
        <v>0</v>
      </c>
      <c r="S549" s="365"/>
      <c r="T549" s="365">
        <f>SUMIFS('Корректировка НВВ'!$P$15:$P$104,'Корректировка НВВ'!$A$15:$A$104,$A549,'Корректировка НВВ'!$D$15:$D$104,"L1")+SUMIFS('Корректировка НВВ'!$P$15:$P$104,'Корректировка НВВ'!$A$15:$A$104,$A549,'Корректировка НВВ'!$D$15:$D$104,"L2")</f>
        <v>0</v>
      </c>
      <c r="U549" s="365"/>
      <c r="V549" s="365"/>
      <c r="W549" s="365"/>
      <c r="X549" s="365"/>
      <c r="Y549" s="365"/>
      <c r="Z549" s="365"/>
      <c r="AA549" s="365"/>
      <c r="AB549" s="365"/>
      <c r="AC549" s="365"/>
      <c r="AD549" s="365">
        <f>SUMIFS('Корректировка НВВ'!$Q$15:$Q$104,'Корректировка НВВ'!$A$15:$A$104,$A549,'Корректировка НВВ'!$D$15:$D$104,"L1")+SUMIFS('Корректировка НВВ'!$Q$15:$Q$104,'Корректировка НВВ'!$A$15:$A$104,$A549,'Корректировка НВВ'!$D$15:$D$104,"L2")</f>
        <v>-201.42088074781554</v>
      </c>
      <c r="AE549" s="365"/>
      <c r="AF549" s="365"/>
      <c r="AG549" s="365"/>
      <c r="AH549" s="365"/>
      <c r="AI549" s="365"/>
      <c r="AJ549" s="365"/>
      <c r="AK549" s="365"/>
      <c r="AL549" s="365"/>
      <c r="AM549" s="365"/>
      <c r="AN549" s="479"/>
      <c r="AO549" s="479"/>
      <c r="AP549" s="479"/>
      <c r="AQ549" s="479"/>
      <c r="AR549" s="479"/>
      <c r="AS549" s="479"/>
      <c r="AT549" s="479"/>
      <c r="AU549" s="479"/>
      <c r="AV549" s="479"/>
      <c r="AW549" s="479"/>
      <c r="AX549" s="179"/>
      <c r="AY549" s="179"/>
      <c r="AZ549" s="179"/>
    </row>
    <row r="550" spans="1:52" s="104" customFormat="1" ht="114" outlineLevel="1">
      <c r="A550" s="477" t="str">
        <f t="shared" si="105"/>
        <v>1</v>
      </c>
      <c r="B550" s="104" t="s">
        <v>1446</v>
      </c>
      <c r="C550" s="503" t="b">
        <f>D451="Водоотведение"</f>
        <v>1</v>
      </c>
      <c r="D550" s="104" t="s">
        <v>1465</v>
      </c>
      <c r="L550" s="362" t="s">
        <v>387</v>
      </c>
      <c r="M550" s="367" t="s">
        <v>1466</v>
      </c>
      <c r="N550" s="368" t="s">
        <v>352</v>
      </c>
      <c r="O550" s="365"/>
      <c r="P550" s="365"/>
      <c r="Q550" s="365"/>
      <c r="R550" s="366">
        <f t="shared" si="106"/>
        <v>0</v>
      </c>
      <c r="S550" s="365"/>
      <c r="T550" s="365">
        <f>SUMIFS('Корректировка НВВ'!$P$15:$P$104,'Корректировка НВВ'!$A$15:$A$104,$A550,'Корректировка НВВ'!$D$15:$D$104,$B550)</f>
        <v>0</v>
      </c>
      <c r="U550" s="365"/>
      <c r="V550" s="365"/>
      <c r="W550" s="365"/>
      <c r="X550" s="365"/>
      <c r="Y550" s="365"/>
      <c r="Z550" s="365"/>
      <c r="AA550" s="365"/>
      <c r="AB550" s="365"/>
      <c r="AC550" s="365"/>
      <c r="AD550" s="365">
        <f>SUMIFS('Корректировка НВВ'!$Q$15:$Q$104,'Корректировка НВВ'!$A$15:$A$104,$A550,'Корректировка НВВ'!$D$15:$D$104,$B550)</f>
        <v>0</v>
      </c>
      <c r="AE550" s="365"/>
      <c r="AF550" s="365"/>
      <c r="AG550" s="365"/>
      <c r="AH550" s="365"/>
      <c r="AI550" s="365"/>
      <c r="AJ550" s="365"/>
      <c r="AK550" s="365"/>
      <c r="AL550" s="365"/>
      <c r="AM550" s="365"/>
      <c r="AN550" s="479"/>
      <c r="AO550" s="479"/>
      <c r="AP550" s="479"/>
      <c r="AQ550" s="479"/>
      <c r="AR550" s="479"/>
      <c r="AS550" s="479"/>
      <c r="AT550" s="479"/>
      <c r="AU550" s="479"/>
      <c r="AV550" s="479"/>
      <c r="AW550" s="479"/>
      <c r="AX550" s="179"/>
      <c r="AY550" s="179"/>
      <c r="AZ550" s="179"/>
    </row>
    <row r="551" spans="1:52" s="104" customFormat="1" ht="79.8" outlineLevel="1">
      <c r="A551" s="477" t="str">
        <f t="shared" si="105"/>
        <v>1</v>
      </c>
      <c r="B551" s="104" t="s">
        <v>1448</v>
      </c>
      <c r="C551" s="503" t="b">
        <f>D451="Водоотведение"</f>
        <v>1</v>
      </c>
      <c r="D551" s="104" t="s">
        <v>1467</v>
      </c>
      <c r="L551" s="362" t="s">
        <v>388</v>
      </c>
      <c r="M551" s="363" t="s">
        <v>1468</v>
      </c>
      <c r="N551" s="368" t="s">
        <v>352</v>
      </c>
      <c r="O551" s="365"/>
      <c r="P551" s="365"/>
      <c r="Q551" s="365"/>
      <c r="R551" s="366">
        <f t="shared" si="106"/>
        <v>0</v>
      </c>
      <c r="S551" s="365"/>
      <c r="T551" s="365">
        <f>SUMIFS('Корректировка НВВ'!$P$15:$P$104,'Корректировка НВВ'!$A$15:$A$104,$A551,'Корректировка НВВ'!$D$15:$D$104,$B551)</f>
        <v>0</v>
      </c>
      <c r="U551" s="365"/>
      <c r="V551" s="365"/>
      <c r="W551" s="365"/>
      <c r="X551" s="365"/>
      <c r="Y551" s="365"/>
      <c r="Z551" s="365"/>
      <c r="AA551" s="365"/>
      <c r="AB551" s="365"/>
      <c r="AC551" s="365"/>
      <c r="AD551" s="365">
        <f>SUMIFS('Корректировка НВВ'!$Q$15:$Q$104,'Корректировка НВВ'!$A$15:$A$104,$A551,'Корректировка НВВ'!$D$15:$D$104,$B551)</f>
        <v>0</v>
      </c>
      <c r="AE551" s="365"/>
      <c r="AF551" s="365"/>
      <c r="AG551" s="365"/>
      <c r="AH551" s="365"/>
      <c r="AI551" s="365"/>
      <c r="AJ551" s="365"/>
      <c r="AK551" s="365"/>
      <c r="AL551" s="365"/>
      <c r="AM551" s="365"/>
      <c r="AN551" s="479"/>
      <c r="AO551" s="479"/>
      <c r="AP551" s="479"/>
      <c r="AQ551" s="479"/>
      <c r="AR551" s="479"/>
      <c r="AS551" s="479"/>
      <c r="AT551" s="479"/>
      <c r="AU551" s="479"/>
      <c r="AV551" s="479"/>
      <c r="AW551" s="479"/>
      <c r="AX551" s="179"/>
      <c r="AY551" s="179"/>
      <c r="AZ551" s="179"/>
    </row>
    <row r="552" spans="1:52" s="104" customFormat="1" outlineLevel="1">
      <c r="A552" s="477" t="str">
        <f t="shared" si="105"/>
        <v>1</v>
      </c>
      <c r="B552" s="104" t="s">
        <v>1450</v>
      </c>
      <c r="D552" s="104" t="s">
        <v>1469</v>
      </c>
      <c r="L552" s="362" t="s">
        <v>1470</v>
      </c>
      <c r="M552" s="363" t="s">
        <v>647</v>
      </c>
      <c r="N552" s="364" t="s">
        <v>352</v>
      </c>
      <c r="O552" s="365"/>
      <c r="P552" s="365"/>
      <c r="Q552" s="365"/>
      <c r="R552" s="366">
        <f t="shared" si="106"/>
        <v>0</v>
      </c>
      <c r="S552" s="365"/>
      <c r="T552" s="365">
        <f>SUMIFS('Корректировка НВВ'!$P$15:$P$104,'Корректировка НВВ'!$A$15:$A$104,$A552,'Корректировка НВВ'!$D$15:$D$104,$B552)</f>
        <v>0</v>
      </c>
      <c r="U552" s="365"/>
      <c r="V552" s="365"/>
      <c r="W552" s="365"/>
      <c r="X552" s="365"/>
      <c r="Y552" s="365"/>
      <c r="Z552" s="365"/>
      <c r="AA552" s="365"/>
      <c r="AB552" s="365"/>
      <c r="AC552" s="365"/>
      <c r="AD552" s="365">
        <f>SUMIFS('Корректировка НВВ'!$Q$15:$Q$104,'Корректировка НВВ'!$A$15:$A$104,$A552,'Корректировка НВВ'!$D$15:$D$104,$B552)</f>
        <v>0</v>
      </c>
      <c r="AE552" s="365"/>
      <c r="AF552" s="365"/>
      <c r="AG552" s="365"/>
      <c r="AH552" s="365"/>
      <c r="AI552" s="365"/>
      <c r="AJ552" s="365"/>
      <c r="AK552" s="365"/>
      <c r="AL552" s="365"/>
      <c r="AM552" s="365"/>
      <c r="AN552" s="479"/>
      <c r="AO552" s="479"/>
      <c r="AP552" s="479"/>
      <c r="AQ552" s="479"/>
      <c r="AR552" s="479"/>
      <c r="AS552" s="479"/>
      <c r="AT552" s="479"/>
      <c r="AU552" s="479"/>
      <c r="AV552" s="479"/>
      <c r="AW552" s="479"/>
      <c r="AX552" s="179"/>
      <c r="AY552" s="179"/>
      <c r="AZ552" s="179"/>
    </row>
    <row r="553" spans="1:52" s="104" customFormat="1" ht="22.8" outlineLevel="1">
      <c r="A553" s="477" t="str">
        <f t="shared" si="105"/>
        <v>1</v>
      </c>
      <c r="B553" s="104" t="s">
        <v>1452</v>
      </c>
      <c r="D553" s="104" t="s">
        <v>1471</v>
      </c>
      <c r="L553" s="362" t="s">
        <v>1472</v>
      </c>
      <c r="M553" s="363" t="s">
        <v>648</v>
      </c>
      <c r="N553" s="364" t="s">
        <v>352</v>
      </c>
      <c r="O553" s="365">
        <f>O554+O555</f>
        <v>0</v>
      </c>
      <c r="P553" s="365">
        <f>P554+P555</f>
        <v>0</v>
      </c>
      <c r="Q553" s="365">
        <f>Q554+Q555</f>
        <v>0</v>
      </c>
      <c r="R553" s="366">
        <f t="shared" si="106"/>
        <v>0</v>
      </c>
      <c r="S553" s="365">
        <f t="shared" ref="S553:AM553" si="110">S554+S555</f>
        <v>0</v>
      </c>
      <c r="T553" s="365">
        <f>SUMIFS('Корректировка НВВ'!$P$15:$P$104,'Корректировка НВВ'!$A$15:$A$104,$A553,'Корректировка НВВ'!$D$15:$D$104,$B553)</f>
        <v>0</v>
      </c>
      <c r="U553" s="365">
        <f t="shared" si="110"/>
        <v>0</v>
      </c>
      <c r="V553" s="365">
        <f t="shared" si="110"/>
        <v>0</v>
      </c>
      <c r="W553" s="365">
        <f t="shared" si="110"/>
        <v>0</v>
      </c>
      <c r="X553" s="365">
        <f t="shared" si="110"/>
        <v>0</v>
      </c>
      <c r="Y553" s="365">
        <f t="shared" si="110"/>
        <v>0</v>
      </c>
      <c r="Z553" s="365">
        <f t="shared" si="110"/>
        <v>0</v>
      </c>
      <c r="AA553" s="365">
        <f t="shared" si="110"/>
        <v>0</v>
      </c>
      <c r="AB553" s="365">
        <f t="shared" si="110"/>
        <v>0</v>
      </c>
      <c r="AC553" s="365">
        <f t="shared" si="110"/>
        <v>0</v>
      </c>
      <c r="AD553" s="365">
        <f>SUMIFS('Корректировка НВВ'!$Q$15:$Q$104,'Корректировка НВВ'!$A$15:$A$104,$A553,'Корректировка НВВ'!$D$15:$D$104,$B553)</f>
        <v>0</v>
      </c>
      <c r="AE553" s="365">
        <f t="shared" si="110"/>
        <v>0</v>
      </c>
      <c r="AF553" s="365">
        <f t="shared" si="110"/>
        <v>0</v>
      </c>
      <c r="AG553" s="365">
        <f t="shared" si="110"/>
        <v>0</v>
      </c>
      <c r="AH553" s="365">
        <f t="shared" si="110"/>
        <v>0</v>
      </c>
      <c r="AI553" s="365">
        <f t="shared" si="110"/>
        <v>0</v>
      </c>
      <c r="AJ553" s="365">
        <f t="shared" si="110"/>
        <v>0</v>
      </c>
      <c r="AK553" s="365">
        <f t="shared" si="110"/>
        <v>0</v>
      </c>
      <c r="AL553" s="365">
        <f t="shared" si="110"/>
        <v>0</v>
      </c>
      <c r="AM553" s="365">
        <f t="shared" si="110"/>
        <v>0</v>
      </c>
      <c r="AN553" s="366">
        <f>IF(S553=0,0,(AD553-S553)/S553*100)</f>
        <v>0</v>
      </c>
      <c r="AO553" s="366">
        <f t="shared" ref="AO553:AW553" si="111">IF(AD553=0,0,(AE553-AD553)/AD553*100)</f>
        <v>0</v>
      </c>
      <c r="AP553" s="366">
        <f t="shared" si="111"/>
        <v>0</v>
      </c>
      <c r="AQ553" s="366">
        <f t="shared" si="111"/>
        <v>0</v>
      </c>
      <c r="AR553" s="366">
        <f t="shared" si="111"/>
        <v>0</v>
      </c>
      <c r="AS553" s="366">
        <f t="shared" si="111"/>
        <v>0</v>
      </c>
      <c r="AT553" s="366">
        <f t="shared" si="111"/>
        <v>0</v>
      </c>
      <c r="AU553" s="366">
        <f t="shared" si="111"/>
        <v>0</v>
      </c>
      <c r="AV553" s="366">
        <f t="shared" si="111"/>
        <v>0</v>
      </c>
      <c r="AW553" s="366">
        <f t="shared" si="111"/>
        <v>0</v>
      </c>
      <c r="AX553" s="179"/>
      <c r="AY553" s="179"/>
      <c r="AZ553" s="179"/>
    </row>
    <row r="554" spans="1:52" s="104" customFormat="1" ht="22.8" outlineLevel="1">
      <c r="A554" s="477" t="str">
        <f t="shared" si="105"/>
        <v>1</v>
      </c>
      <c r="B554" s="104" t="s">
        <v>1454</v>
      </c>
      <c r="D554" s="104" t="s">
        <v>1473</v>
      </c>
      <c r="L554" s="362" t="s">
        <v>1474</v>
      </c>
      <c r="M554" s="536" t="s">
        <v>649</v>
      </c>
      <c r="N554" s="364" t="s">
        <v>352</v>
      </c>
      <c r="O554" s="365"/>
      <c r="P554" s="365"/>
      <c r="Q554" s="365"/>
      <c r="R554" s="366">
        <f t="shared" si="106"/>
        <v>0</v>
      </c>
      <c r="S554" s="365"/>
      <c r="T554" s="365">
        <f>SUMIFS('Корректировка НВВ'!$P$15:$P$104,'Корректировка НВВ'!$A$15:$A$104,$A554,'Корректировка НВВ'!$D$15:$D$104,$B554)</f>
        <v>0</v>
      </c>
      <c r="U554" s="365"/>
      <c r="V554" s="365"/>
      <c r="W554" s="365"/>
      <c r="X554" s="365"/>
      <c r="Y554" s="365"/>
      <c r="Z554" s="365"/>
      <c r="AA554" s="365"/>
      <c r="AB554" s="365"/>
      <c r="AC554" s="365"/>
      <c r="AD554" s="365">
        <f>SUMIFS('Корректировка НВВ'!$Q$15:$Q$104,'Корректировка НВВ'!$A$15:$A$104,$A554,'Корректировка НВВ'!$D$15:$D$104,$B554)</f>
        <v>0</v>
      </c>
      <c r="AE554" s="365"/>
      <c r="AF554" s="365"/>
      <c r="AG554" s="365"/>
      <c r="AH554" s="365"/>
      <c r="AI554" s="365"/>
      <c r="AJ554" s="365"/>
      <c r="AK554" s="365"/>
      <c r="AL554" s="365"/>
      <c r="AM554" s="365"/>
      <c r="AN554" s="479"/>
      <c r="AO554" s="479"/>
      <c r="AP554" s="479"/>
      <c r="AQ554" s="479"/>
      <c r="AR554" s="479"/>
      <c r="AS554" s="479"/>
      <c r="AT554" s="479"/>
      <c r="AU554" s="479"/>
      <c r="AV554" s="479"/>
      <c r="AW554" s="479"/>
      <c r="AX554" s="179"/>
      <c r="AY554" s="179"/>
      <c r="AZ554" s="179"/>
    </row>
    <row r="555" spans="1:52" s="104" customFormat="1" ht="22.8" outlineLevel="1">
      <c r="A555" s="477" t="str">
        <f t="shared" si="105"/>
        <v>1</v>
      </c>
      <c r="B555" s="104" t="s">
        <v>1455</v>
      </c>
      <c r="D555" s="104" t="s">
        <v>1475</v>
      </c>
      <c r="L555" s="362" t="s">
        <v>1476</v>
      </c>
      <c r="M555" s="378" t="s">
        <v>650</v>
      </c>
      <c r="N555" s="364" t="s">
        <v>352</v>
      </c>
      <c r="O555" s="365"/>
      <c r="P555" s="365"/>
      <c r="Q555" s="365"/>
      <c r="R555" s="366">
        <f t="shared" si="106"/>
        <v>0</v>
      </c>
      <c r="S555" s="365"/>
      <c r="T555" s="365">
        <f>SUMIFS('Корректировка НВВ'!$P$15:$P$104,'Корректировка НВВ'!$A$15:$A$104,$A555,'Корректировка НВВ'!$D$15:$D$104,$B555)</f>
        <v>0</v>
      </c>
      <c r="U555" s="365"/>
      <c r="V555" s="365"/>
      <c r="W555" s="365"/>
      <c r="X555" s="365"/>
      <c r="Y555" s="365"/>
      <c r="Z555" s="365"/>
      <c r="AA555" s="365"/>
      <c r="AB555" s="365"/>
      <c r="AC555" s="365"/>
      <c r="AD555" s="365">
        <f>SUMIFS('Корректировка НВВ'!$Q$15:$Q$104,'Корректировка НВВ'!$A$15:$A$104,$A555,'Корректировка НВВ'!$D$15:$D$104,$B555)</f>
        <v>0</v>
      </c>
      <c r="AE555" s="365"/>
      <c r="AF555" s="365"/>
      <c r="AG555" s="365"/>
      <c r="AH555" s="365"/>
      <c r="AI555" s="365"/>
      <c r="AJ555" s="365"/>
      <c r="AK555" s="365"/>
      <c r="AL555" s="365"/>
      <c r="AM555" s="365"/>
      <c r="AN555" s="479"/>
      <c r="AO555" s="479"/>
      <c r="AP555" s="479"/>
      <c r="AQ555" s="479"/>
      <c r="AR555" s="479"/>
      <c r="AS555" s="479"/>
      <c r="AT555" s="479"/>
      <c r="AU555" s="479"/>
      <c r="AV555" s="479"/>
      <c r="AW555" s="479"/>
      <c r="AX555" s="179"/>
      <c r="AY555" s="179"/>
      <c r="AZ555" s="179"/>
    </row>
    <row r="556" spans="1:52" s="104" customFormat="1" ht="22.8" outlineLevel="1">
      <c r="A556" s="477" t="str">
        <f t="shared" si="105"/>
        <v>1</v>
      </c>
      <c r="B556" s="104" t="s">
        <v>1456</v>
      </c>
      <c r="D556" s="104" t="s">
        <v>1477</v>
      </c>
      <c r="L556" s="387" t="s">
        <v>1478</v>
      </c>
      <c r="M556" s="379" t="s">
        <v>651</v>
      </c>
      <c r="N556" s="364" t="s">
        <v>352</v>
      </c>
      <c r="O556" s="365"/>
      <c r="P556" s="365"/>
      <c r="Q556" s="365"/>
      <c r="R556" s="366">
        <f t="shared" si="106"/>
        <v>0</v>
      </c>
      <c r="S556" s="365"/>
      <c r="T556" s="365">
        <f>SUMIFS('Корректировка НВВ'!$P$15:$P$104,'Корректировка НВВ'!$A$15:$A$104,$A556,'Корректировка НВВ'!$D$15:$D$104,$B556)</f>
        <v>0</v>
      </c>
      <c r="U556" s="365"/>
      <c r="V556" s="365"/>
      <c r="W556" s="365"/>
      <c r="X556" s="365"/>
      <c r="Y556" s="365"/>
      <c r="Z556" s="365"/>
      <c r="AA556" s="365"/>
      <c r="AB556" s="365"/>
      <c r="AC556" s="365"/>
      <c r="AD556" s="365">
        <f>SUMIFS('Корректировка НВВ'!$Q$15:$Q$104,'Корректировка НВВ'!$A$15:$A$104,$A556,'Корректировка НВВ'!$D$15:$D$104,$B556)</f>
        <v>0</v>
      </c>
      <c r="AE556" s="365"/>
      <c r="AF556" s="365"/>
      <c r="AG556" s="365"/>
      <c r="AH556" s="365"/>
      <c r="AI556" s="365"/>
      <c r="AJ556" s="365"/>
      <c r="AK556" s="365"/>
      <c r="AL556" s="365"/>
      <c r="AM556" s="365"/>
      <c r="AN556" s="479"/>
      <c r="AO556" s="479"/>
      <c r="AP556" s="479"/>
      <c r="AQ556" s="479"/>
      <c r="AR556" s="479"/>
      <c r="AS556" s="479"/>
      <c r="AT556" s="479"/>
      <c r="AU556" s="479"/>
      <c r="AV556" s="479"/>
      <c r="AW556" s="479"/>
      <c r="AX556" s="179"/>
      <c r="AY556" s="179"/>
      <c r="AZ556" s="179"/>
    </row>
    <row r="557" spans="1:52" s="104" customFormat="1" ht="22.8" outlineLevel="1">
      <c r="A557" s="477" t="str">
        <f t="shared" si="105"/>
        <v>1</v>
      </c>
      <c r="B557" s="104" t="s">
        <v>1458</v>
      </c>
      <c r="D557" s="104" t="s">
        <v>1479</v>
      </c>
      <c r="L557" s="387" t="s">
        <v>1480</v>
      </c>
      <c r="M557" s="379" t="s">
        <v>652</v>
      </c>
      <c r="N557" s="364" t="s">
        <v>352</v>
      </c>
      <c r="O557" s="365"/>
      <c r="P557" s="365"/>
      <c r="Q557" s="365"/>
      <c r="R557" s="366">
        <f t="shared" si="106"/>
        <v>0</v>
      </c>
      <c r="S557" s="365"/>
      <c r="T557" s="365">
        <f>SUMIFS('Корректировка НВВ'!$P$15:$P$104,'Корректировка НВВ'!$A$15:$A$104,$A557,'Корректировка НВВ'!$D$15:$D$104,$B557)</f>
        <v>0</v>
      </c>
      <c r="U557" s="365"/>
      <c r="V557" s="365"/>
      <c r="W557" s="365"/>
      <c r="X557" s="365"/>
      <c r="Y557" s="365"/>
      <c r="Z557" s="365"/>
      <c r="AA557" s="365"/>
      <c r="AB557" s="365"/>
      <c r="AC557" s="365"/>
      <c r="AD557" s="365">
        <f>SUMIFS('Корректировка НВВ'!$Q$15:$Q$104,'Корректировка НВВ'!$A$15:$A$104,$A557,'Корректировка НВВ'!$D$15:$D$104,$B557)</f>
        <v>0</v>
      </c>
      <c r="AE557" s="365"/>
      <c r="AF557" s="365"/>
      <c r="AG557" s="365"/>
      <c r="AH557" s="365"/>
      <c r="AI557" s="365"/>
      <c r="AJ557" s="365"/>
      <c r="AK557" s="365"/>
      <c r="AL557" s="365"/>
      <c r="AM557" s="365"/>
      <c r="AN557" s="479"/>
      <c r="AO557" s="479"/>
      <c r="AP557" s="479"/>
      <c r="AQ557" s="479"/>
      <c r="AR557" s="479"/>
      <c r="AS557" s="479"/>
      <c r="AT557" s="479"/>
      <c r="AU557" s="479"/>
      <c r="AV557" s="479"/>
      <c r="AW557" s="479"/>
      <c r="AX557" s="179"/>
      <c r="AY557" s="179"/>
      <c r="AZ557" s="179"/>
    </row>
    <row r="558" spans="1:52" s="109" customFormat="1" outlineLevel="1">
      <c r="A558" s="477" t="str">
        <f t="shared" si="105"/>
        <v>1</v>
      </c>
      <c r="D558" s="109" t="s">
        <v>1458</v>
      </c>
      <c r="L558" s="381" t="s">
        <v>126</v>
      </c>
      <c r="M558" s="384" t="s">
        <v>644</v>
      </c>
      <c r="N558" s="382" t="s">
        <v>352</v>
      </c>
      <c r="O558" s="386"/>
      <c r="P558" s="386"/>
      <c r="Q558" s="386"/>
      <c r="R558" s="360">
        <f t="shared" si="106"/>
        <v>0</v>
      </c>
      <c r="S558" s="386"/>
      <c r="T558" s="386"/>
      <c r="U558" s="386"/>
      <c r="V558" s="386"/>
      <c r="W558" s="386"/>
      <c r="X558" s="386"/>
      <c r="Y558" s="386"/>
      <c r="Z558" s="386"/>
      <c r="AA558" s="386"/>
      <c r="AB558" s="386"/>
      <c r="AC558" s="386"/>
      <c r="AD558" s="386"/>
      <c r="AE558" s="386"/>
      <c r="AF558" s="386"/>
      <c r="AG558" s="386"/>
      <c r="AH558" s="386"/>
      <c r="AI558" s="386"/>
      <c r="AJ558" s="386"/>
      <c r="AK558" s="386"/>
      <c r="AL558" s="386"/>
      <c r="AM558" s="386"/>
      <c r="AN558" s="478"/>
      <c r="AO558" s="478"/>
      <c r="AP558" s="478"/>
      <c r="AQ558" s="478"/>
      <c r="AR558" s="478"/>
      <c r="AS558" s="478"/>
      <c r="AT558" s="478"/>
      <c r="AU558" s="478"/>
      <c r="AV558" s="478"/>
      <c r="AW558" s="478"/>
      <c r="AX558" s="467"/>
      <c r="AY558" s="467"/>
      <c r="AZ558" s="467"/>
    </row>
    <row r="559" spans="1:52" s="104" customFormat="1" outlineLevel="1">
      <c r="A559" s="477" t="str">
        <f t="shared" si="105"/>
        <v>1</v>
      </c>
      <c r="D559" s="104" t="s">
        <v>1481</v>
      </c>
      <c r="L559" s="362" t="s">
        <v>141</v>
      </c>
      <c r="M559" s="363" t="s">
        <v>1205</v>
      </c>
      <c r="N559" s="364" t="s">
        <v>137</v>
      </c>
      <c r="O559" s="366">
        <f>IF(O560=0,0,O558/O560*100)</f>
        <v>0</v>
      </c>
      <c r="P559" s="366" t="e">
        <f>IF(P560=0,0,P558/P560*100)</f>
        <v>#N/A</v>
      </c>
      <c r="Q559" s="366" t="e">
        <f>IF(Q560=0,0,Q558/Q560*100)</f>
        <v>#N/A</v>
      </c>
      <c r="R559" s="366" t="e">
        <f>Q559-P559</f>
        <v>#N/A</v>
      </c>
      <c r="S559" s="366" t="e">
        <f t="shared" ref="S559:AM559" si="112">IF(S560=0,0,S558/S560*100)</f>
        <v>#N/A</v>
      </c>
      <c r="T559" s="366" t="e">
        <f t="shared" si="112"/>
        <v>#N/A</v>
      </c>
      <c r="U559" s="366" t="e">
        <f t="shared" si="112"/>
        <v>#N/A</v>
      </c>
      <c r="V559" s="366" t="e">
        <f t="shared" si="112"/>
        <v>#N/A</v>
      </c>
      <c r="W559" s="366" t="e">
        <f t="shared" si="112"/>
        <v>#N/A</v>
      </c>
      <c r="X559" s="366" t="e">
        <f t="shared" si="112"/>
        <v>#N/A</v>
      </c>
      <c r="Y559" s="366" t="e">
        <f t="shared" si="112"/>
        <v>#N/A</v>
      </c>
      <c r="Z559" s="366" t="e">
        <f t="shared" si="112"/>
        <v>#N/A</v>
      </c>
      <c r="AA559" s="366" t="e">
        <f t="shared" si="112"/>
        <v>#N/A</v>
      </c>
      <c r="AB559" s="366" t="e">
        <f t="shared" si="112"/>
        <v>#N/A</v>
      </c>
      <c r="AC559" s="366" t="e">
        <f t="shared" si="112"/>
        <v>#N/A</v>
      </c>
      <c r="AD559" s="366" t="e">
        <f t="shared" si="112"/>
        <v>#N/A</v>
      </c>
      <c r="AE559" s="366" t="e">
        <f t="shared" si="112"/>
        <v>#N/A</v>
      </c>
      <c r="AF559" s="366" t="e">
        <f t="shared" si="112"/>
        <v>#N/A</v>
      </c>
      <c r="AG559" s="366" t="e">
        <f t="shared" si="112"/>
        <v>#N/A</v>
      </c>
      <c r="AH559" s="366" t="e">
        <f t="shared" si="112"/>
        <v>#N/A</v>
      </c>
      <c r="AI559" s="366" t="e">
        <f t="shared" si="112"/>
        <v>#N/A</v>
      </c>
      <c r="AJ559" s="366" t="e">
        <f t="shared" si="112"/>
        <v>#N/A</v>
      </c>
      <c r="AK559" s="366" t="e">
        <f t="shared" si="112"/>
        <v>#N/A</v>
      </c>
      <c r="AL559" s="366" t="e">
        <f t="shared" si="112"/>
        <v>#N/A</v>
      </c>
      <c r="AM559" s="366" t="e">
        <f t="shared" si="112"/>
        <v>#N/A</v>
      </c>
      <c r="AN559" s="479"/>
      <c r="AO559" s="479"/>
      <c r="AP559" s="479"/>
      <c r="AQ559" s="479"/>
      <c r="AR559" s="479"/>
      <c r="AS559" s="479"/>
      <c r="AT559" s="479"/>
      <c r="AU559" s="479"/>
      <c r="AV559" s="479"/>
      <c r="AW559" s="479"/>
      <c r="AX559" s="179"/>
      <c r="AY559" s="179"/>
      <c r="AZ559" s="179"/>
    </row>
    <row r="560" spans="1:52" s="109" customFormat="1" outlineLevel="1">
      <c r="A560" s="477" t="str">
        <f t="shared" si="105"/>
        <v>1</v>
      </c>
      <c r="C560" s="104"/>
      <c r="D560" s="104" t="s">
        <v>1460</v>
      </c>
      <c r="L560" s="381" t="s">
        <v>127</v>
      </c>
      <c r="M560" s="384" t="s">
        <v>645</v>
      </c>
      <c r="N560" s="359" t="s">
        <v>352</v>
      </c>
      <c r="O560" s="464">
        <f>O452+O502+O536+O537+O539+O544</f>
        <v>186.85</v>
      </c>
      <c r="P560" s="361" t="e">
        <f>P452+P502+P536+P537+P539+P544</f>
        <v>#N/A</v>
      </c>
      <c r="Q560" s="361" t="e">
        <f>Q452+Q502+Q536+Q537+Q539+Q544</f>
        <v>#N/A</v>
      </c>
      <c r="R560" s="360" t="e">
        <f>Q560-P560</f>
        <v>#N/A</v>
      </c>
      <c r="S560" s="361" t="e">
        <f t="shared" ref="S560:AM560" si="113">S452+S502+S536+S537+S539+S544</f>
        <v>#N/A</v>
      </c>
      <c r="T560" s="361" t="e">
        <f t="shared" si="113"/>
        <v>#N/A</v>
      </c>
      <c r="U560" s="361" t="e">
        <f t="shared" si="113"/>
        <v>#N/A</v>
      </c>
      <c r="V560" s="361" t="e">
        <f t="shared" si="113"/>
        <v>#N/A</v>
      </c>
      <c r="W560" s="361" t="e">
        <f t="shared" si="113"/>
        <v>#N/A</v>
      </c>
      <c r="X560" s="361" t="e">
        <f t="shared" si="113"/>
        <v>#N/A</v>
      </c>
      <c r="Y560" s="361" t="e">
        <f t="shared" si="113"/>
        <v>#N/A</v>
      </c>
      <c r="Z560" s="361" t="e">
        <f t="shared" si="113"/>
        <v>#N/A</v>
      </c>
      <c r="AA560" s="361" t="e">
        <f t="shared" si="113"/>
        <v>#N/A</v>
      </c>
      <c r="AB560" s="361" t="e">
        <f t="shared" si="113"/>
        <v>#N/A</v>
      </c>
      <c r="AC560" s="361" t="e">
        <f t="shared" si="113"/>
        <v>#N/A</v>
      </c>
      <c r="AD560" s="361" t="e">
        <f t="shared" si="113"/>
        <v>#N/A</v>
      </c>
      <c r="AE560" s="361" t="e">
        <f t="shared" si="113"/>
        <v>#N/A</v>
      </c>
      <c r="AF560" s="361" t="e">
        <f t="shared" si="113"/>
        <v>#N/A</v>
      </c>
      <c r="AG560" s="361" t="e">
        <f t="shared" si="113"/>
        <v>#N/A</v>
      </c>
      <c r="AH560" s="361" t="e">
        <f t="shared" si="113"/>
        <v>#N/A</v>
      </c>
      <c r="AI560" s="361" t="e">
        <f t="shared" si="113"/>
        <v>#N/A</v>
      </c>
      <c r="AJ560" s="361" t="e">
        <f t="shared" si="113"/>
        <v>#N/A</v>
      </c>
      <c r="AK560" s="361" t="e">
        <f t="shared" si="113"/>
        <v>#N/A</v>
      </c>
      <c r="AL560" s="361" t="e">
        <f t="shared" si="113"/>
        <v>#N/A</v>
      </c>
      <c r="AM560" s="361" t="e">
        <f t="shared" si="113"/>
        <v>#N/A</v>
      </c>
      <c r="AN560" s="360" t="e">
        <f>IF(S560=0,0,(AD560-S560)/S560*100)</f>
        <v>#N/A</v>
      </c>
      <c r="AO560" s="360" t="e">
        <f t="shared" ref="AO560:AW561" si="114">IF(AD560=0,0,(AE560-AD560)/AD560*100)</f>
        <v>#N/A</v>
      </c>
      <c r="AP560" s="360" t="e">
        <f t="shared" si="114"/>
        <v>#N/A</v>
      </c>
      <c r="AQ560" s="360" t="e">
        <f t="shared" si="114"/>
        <v>#N/A</v>
      </c>
      <c r="AR560" s="360" t="e">
        <f t="shared" si="114"/>
        <v>#N/A</v>
      </c>
      <c r="AS560" s="360" t="e">
        <f t="shared" si="114"/>
        <v>#N/A</v>
      </c>
      <c r="AT560" s="360" t="e">
        <f t="shared" si="114"/>
        <v>#N/A</v>
      </c>
      <c r="AU560" s="360" t="e">
        <f t="shared" si="114"/>
        <v>#N/A</v>
      </c>
      <c r="AV560" s="360" t="e">
        <f t="shared" si="114"/>
        <v>#N/A</v>
      </c>
      <c r="AW560" s="360" t="e">
        <f t="shared" si="114"/>
        <v>#N/A</v>
      </c>
      <c r="AX560" s="179"/>
      <c r="AY560" s="179"/>
      <c r="AZ560" s="179"/>
    </row>
    <row r="561" spans="1:52" s="109" customFormat="1" outlineLevel="1">
      <c r="A561" s="477" t="str">
        <f t="shared" si="105"/>
        <v>1</v>
      </c>
      <c r="C561" s="104"/>
      <c r="D561" s="104" t="s">
        <v>1482</v>
      </c>
      <c r="L561" s="381" t="s">
        <v>128</v>
      </c>
      <c r="M561" s="384" t="s">
        <v>653</v>
      </c>
      <c r="N561" s="382" t="s">
        <v>352</v>
      </c>
      <c r="O561" s="464">
        <f t="shared" ref="O561:AM561" si="115">O560+O545+O558</f>
        <v>186.85</v>
      </c>
      <c r="P561" s="361" t="e">
        <f t="shared" si="115"/>
        <v>#N/A</v>
      </c>
      <c r="Q561" s="361" t="e">
        <f t="shared" si="115"/>
        <v>#N/A</v>
      </c>
      <c r="R561" s="361" t="e">
        <f t="shared" si="115"/>
        <v>#N/A</v>
      </c>
      <c r="S561" s="361" t="e">
        <f t="shared" si="115"/>
        <v>#N/A</v>
      </c>
      <c r="T561" s="361" t="e">
        <f t="shared" si="115"/>
        <v>#N/A</v>
      </c>
      <c r="U561" s="361" t="e">
        <f t="shared" si="115"/>
        <v>#N/A</v>
      </c>
      <c r="V561" s="361" t="e">
        <f t="shared" si="115"/>
        <v>#N/A</v>
      </c>
      <c r="W561" s="361" t="e">
        <f t="shared" si="115"/>
        <v>#N/A</v>
      </c>
      <c r="X561" s="361" t="e">
        <f t="shared" si="115"/>
        <v>#N/A</v>
      </c>
      <c r="Y561" s="361" t="e">
        <f t="shared" si="115"/>
        <v>#N/A</v>
      </c>
      <c r="Z561" s="361" t="e">
        <f t="shared" si="115"/>
        <v>#N/A</v>
      </c>
      <c r="AA561" s="361" t="e">
        <f t="shared" si="115"/>
        <v>#N/A</v>
      </c>
      <c r="AB561" s="361" t="e">
        <f t="shared" si="115"/>
        <v>#N/A</v>
      </c>
      <c r="AC561" s="361" t="e">
        <f t="shared" si="115"/>
        <v>#N/A</v>
      </c>
      <c r="AD561" s="361" t="e">
        <f t="shared" si="115"/>
        <v>#N/A</v>
      </c>
      <c r="AE561" s="361" t="e">
        <f t="shared" si="115"/>
        <v>#N/A</v>
      </c>
      <c r="AF561" s="361" t="e">
        <f t="shared" si="115"/>
        <v>#N/A</v>
      </c>
      <c r="AG561" s="361" t="e">
        <f t="shared" si="115"/>
        <v>#N/A</v>
      </c>
      <c r="AH561" s="361" t="e">
        <f t="shared" si="115"/>
        <v>#N/A</v>
      </c>
      <c r="AI561" s="361" t="e">
        <f t="shared" si="115"/>
        <v>#N/A</v>
      </c>
      <c r="AJ561" s="361" t="e">
        <f t="shared" si="115"/>
        <v>#N/A</v>
      </c>
      <c r="AK561" s="361" t="e">
        <f t="shared" si="115"/>
        <v>#N/A</v>
      </c>
      <c r="AL561" s="361" t="e">
        <f t="shared" si="115"/>
        <v>#N/A</v>
      </c>
      <c r="AM561" s="361" t="e">
        <f t="shared" si="115"/>
        <v>#N/A</v>
      </c>
      <c r="AN561" s="360" t="e">
        <f>IF(S561=0,0,(AD561-S561)/S561*100)</f>
        <v>#N/A</v>
      </c>
      <c r="AO561" s="360" t="e">
        <f t="shared" si="114"/>
        <v>#N/A</v>
      </c>
      <c r="AP561" s="360" t="e">
        <f t="shared" si="114"/>
        <v>#N/A</v>
      </c>
      <c r="AQ561" s="360" t="e">
        <f t="shared" si="114"/>
        <v>#N/A</v>
      </c>
      <c r="AR561" s="360" t="e">
        <f t="shared" si="114"/>
        <v>#N/A</v>
      </c>
      <c r="AS561" s="360" t="e">
        <f t="shared" si="114"/>
        <v>#N/A</v>
      </c>
      <c r="AT561" s="360" t="e">
        <f t="shared" si="114"/>
        <v>#N/A</v>
      </c>
      <c r="AU561" s="360" t="e">
        <f t="shared" si="114"/>
        <v>#N/A</v>
      </c>
      <c r="AV561" s="360" t="e">
        <f t="shared" si="114"/>
        <v>#N/A</v>
      </c>
      <c r="AW561" s="360" t="e">
        <f t="shared" si="114"/>
        <v>#N/A</v>
      </c>
      <c r="AX561" s="179"/>
      <c r="AY561" s="179"/>
      <c r="AZ561" s="179"/>
    </row>
    <row r="562" spans="1:52" s="104" customFormat="1" ht="14.4" outlineLevel="1">
      <c r="A562" s="477" t="str">
        <f t="shared" si="105"/>
        <v>1</v>
      </c>
      <c r="C562" s="503" t="b">
        <f>B451="двухставочный"</f>
        <v>0</v>
      </c>
      <c r="D562" s="579" t="s">
        <v>1483</v>
      </c>
      <c r="L562" s="387" t="s">
        <v>1204</v>
      </c>
      <c r="M562" s="379" t="s">
        <v>1301</v>
      </c>
      <c r="N562" s="364" t="s">
        <v>352</v>
      </c>
      <c r="O562" s="365"/>
      <c r="P562" s="365"/>
      <c r="Q562" s="365"/>
      <c r="R562" s="366">
        <f>Q562-P562</f>
        <v>0</v>
      </c>
      <c r="S562" s="365"/>
      <c r="T562" s="365"/>
      <c r="U562" s="365"/>
      <c r="V562" s="365"/>
      <c r="W562" s="365"/>
      <c r="X562" s="365"/>
      <c r="Y562" s="365"/>
      <c r="Z562" s="365"/>
      <c r="AA562" s="365"/>
      <c r="AB562" s="365"/>
      <c r="AC562" s="365"/>
      <c r="AD562" s="365"/>
      <c r="AE562" s="365"/>
      <c r="AF562" s="365"/>
      <c r="AG562" s="365"/>
      <c r="AH562" s="365"/>
      <c r="AI562" s="365"/>
      <c r="AJ562" s="365"/>
      <c r="AK562" s="365"/>
      <c r="AL562" s="365"/>
      <c r="AM562" s="365"/>
      <c r="AN562" s="479"/>
      <c r="AO562" s="479"/>
      <c r="AP562" s="479"/>
      <c r="AQ562" s="479"/>
      <c r="AR562" s="479"/>
      <c r="AS562" s="479"/>
      <c r="AT562" s="479"/>
      <c r="AU562" s="479"/>
      <c r="AV562" s="479"/>
      <c r="AW562" s="479"/>
      <c r="AX562" s="179"/>
      <c r="AY562" s="179"/>
      <c r="AZ562" s="179"/>
    </row>
    <row r="563" spans="1:52" s="104" customFormat="1" ht="14.4" outlineLevel="1">
      <c r="A563" s="477" t="str">
        <f t="shared" si="105"/>
        <v>1</v>
      </c>
      <c r="C563" s="503" t="b">
        <f>B451="двухставочный"</f>
        <v>0</v>
      </c>
      <c r="D563" s="579" t="s">
        <v>1484</v>
      </c>
      <c r="L563" s="387" t="s">
        <v>1269</v>
      </c>
      <c r="M563" s="379" t="s">
        <v>1302</v>
      </c>
      <c r="N563" s="364" t="s">
        <v>352</v>
      </c>
      <c r="O563" s="365"/>
      <c r="P563" s="365"/>
      <c r="Q563" s="365"/>
      <c r="R563" s="366">
        <f>Q563-P563</f>
        <v>0</v>
      </c>
      <c r="S563" s="365"/>
      <c r="T563" s="365"/>
      <c r="U563" s="365"/>
      <c r="V563" s="365"/>
      <c r="W563" s="365"/>
      <c r="X563" s="365"/>
      <c r="Y563" s="365"/>
      <c r="Z563" s="365"/>
      <c r="AA563" s="365"/>
      <c r="AB563" s="365"/>
      <c r="AC563" s="365"/>
      <c r="AD563" s="365"/>
      <c r="AE563" s="365"/>
      <c r="AF563" s="365"/>
      <c r="AG563" s="365"/>
      <c r="AH563" s="365"/>
      <c r="AI563" s="365"/>
      <c r="AJ563" s="365"/>
      <c r="AK563" s="365"/>
      <c r="AL563" s="365"/>
      <c r="AM563" s="365"/>
      <c r="AN563" s="479"/>
      <c r="AO563" s="479"/>
      <c r="AP563" s="479"/>
      <c r="AQ563" s="479"/>
      <c r="AR563" s="479"/>
      <c r="AS563" s="479"/>
      <c r="AT563" s="479"/>
      <c r="AU563" s="479"/>
      <c r="AV563" s="479"/>
      <c r="AW563" s="479"/>
      <c r="AX563" s="179"/>
      <c r="AY563" s="179"/>
      <c r="AZ563" s="179"/>
    </row>
    <row r="564" spans="1:52" s="109" customFormat="1" outlineLevel="1">
      <c r="A564" s="477" t="str">
        <f t="shared" si="105"/>
        <v>1</v>
      </c>
      <c r="B564" s="104" t="s">
        <v>1184</v>
      </c>
      <c r="C564" s="104"/>
      <c r="D564" s="104" t="s">
        <v>1485</v>
      </c>
      <c r="L564" s="381" t="s">
        <v>129</v>
      </c>
      <c r="M564" s="384" t="s">
        <v>654</v>
      </c>
      <c r="N564" s="382" t="s">
        <v>311</v>
      </c>
      <c r="O564" s="460">
        <f>SUMIFS(Баланс!O$16:O$57,Баланс!$A$16:$A$57,$A564,Баланс!$B$16:$B$57,"ПО")</f>
        <v>590</v>
      </c>
      <c r="P564" s="460">
        <f>SUMIFS(Баланс!P$16:P$57,Баланс!$A$16:$A$57,$A564,Баланс!$B$16:$B$57,"ПО")</f>
        <v>651.79</v>
      </c>
      <c r="Q564" s="460">
        <f>SUMIFS(Баланс!Q$16:Q$57,Баланс!$A$16:$A$57,$A564,Баланс!$B$16:$B$57,"ПО")</f>
        <v>651.79</v>
      </c>
      <c r="R564" s="460">
        <f>Q564-P564</f>
        <v>0</v>
      </c>
      <c r="S564" s="460">
        <f>SUMIFS(Баланс!R$16:R$57,Баланс!$A$16:$A$57,$A564,Баланс!$B$16:$B$57,"ПО")</f>
        <v>571.72</v>
      </c>
      <c r="T564" s="460">
        <f>SUMIFS(Баланс!S$16:S$57,Баланс!$A$16:$A$57,$A564,Баланс!$B$16:$B$57,"ПО")</f>
        <v>685.16000000000008</v>
      </c>
      <c r="U564" s="460">
        <f>SUMIFS(Баланс!T$16:T$57,Баланс!$A$16:$A$57,$A564,Баланс!$B$16:$B$57,"ПО")</f>
        <v>0</v>
      </c>
      <c r="V564" s="460">
        <f>SUMIFS(Баланс!U$16:U$57,Баланс!$A$16:$A$57,$A564,Баланс!$B$16:$B$57,"ПО")</f>
        <v>0</v>
      </c>
      <c r="W564" s="460">
        <f>SUMIFS(Баланс!V$16:V$57,Баланс!$A$16:$A$57,$A564,Баланс!$B$16:$B$57,"ПО")</f>
        <v>0</v>
      </c>
      <c r="X564" s="460">
        <f>SUMIFS(Баланс!W$16:W$57,Баланс!$A$16:$A$57,$A564,Баланс!$B$16:$B$57,"ПО")</f>
        <v>0</v>
      </c>
      <c r="Y564" s="460">
        <f>SUMIFS(Баланс!X$16:X$57,Баланс!$A$16:$A$57,$A564,Баланс!$B$16:$B$57,"ПО")</f>
        <v>0</v>
      </c>
      <c r="Z564" s="460">
        <f>SUMIFS(Баланс!Y$16:Y$57,Баланс!$A$16:$A$57,$A564,Баланс!$B$16:$B$57,"ПО")</f>
        <v>0</v>
      </c>
      <c r="AA564" s="460">
        <f>SUMIFS(Баланс!Z$16:Z$57,Баланс!$A$16:$A$57,$A564,Баланс!$B$16:$B$57,"ПО")</f>
        <v>0</v>
      </c>
      <c r="AB564" s="460">
        <f>SUMIFS(Баланс!AA$16:AA$57,Баланс!$A$16:$A$57,$A564,Баланс!$B$16:$B$57,"ПО")</f>
        <v>0</v>
      </c>
      <c r="AC564" s="460">
        <f>SUMIFS(Баланс!AB$16:AB$57,Баланс!$A$16:$A$57,$A564,Баланс!$B$16:$B$57,"ПО")</f>
        <v>0</v>
      </c>
      <c r="AD564" s="460">
        <f>SUMIFS(Баланс!AC$16:AC$57,Баланс!$A$16:$A$57,$A564,Баланс!$B$16:$B$57,"ПО")</f>
        <v>685.16000000000008</v>
      </c>
      <c r="AE564" s="460">
        <f>SUMIFS(Баланс!AD$16:AD$57,Баланс!$A$16:$A$57,$A564,Баланс!$B$16:$B$57,"ПО")</f>
        <v>0</v>
      </c>
      <c r="AF564" s="460">
        <f>SUMIFS(Баланс!AE$16:AE$57,Баланс!$A$16:$A$57,$A564,Баланс!$B$16:$B$57,"ПО")</f>
        <v>0</v>
      </c>
      <c r="AG564" s="460">
        <f>SUMIFS(Баланс!AF$16:AF$57,Баланс!$A$16:$A$57,$A564,Баланс!$B$16:$B$57,"ПО")</f>
        <v>0</v>
      </c>
      <c r="AH564" s="460">
        <f>SUMIFS(Баланс!AG$16:AG$57,Баланс!$A$16:$A$57,$A564,Баланс!$B$16:$B$57,"ПО")</f>
        <v>0</v>
      </c>
      <c r="AI564" s="460">
        <f>SUMIFS(Баланс!AH$16:AH$57,Баланс!$A$16:$A$57,$A564,Баланс!$B$16:$B$57,"ПО")</f>
        <v>0</v>
      </c>
      <c r="AJ564" s="460">
        <f>SUMIFS(Баланс!AI$16:AI$57,Баланс!$A$16:$A$57,$A564,Баланс!$B$16:$B$57,"ПО")</f>
        <v>0</v>
      </c>
      <c r="AK564" s="460">
        <f>SUMIFS(Баланс!AJ$16:AJ$57,Баланс!$A$16:$A$57,$A564,Баланс!$B$16:$B$57,"ПО")</f>
        <v>0</v>
      </c>
      <c r="AL564" s="460">
        <f>SUMIFS(Баланс!AK$16:AK$57,Баланс!$A$16:$A$57,$A564,Баланс!$B$16:$B$57,"ПО")</f>
        <v>0</v>
      </c>
      <c r="AM564" s="460">
        <f>SUMIFS(Баланс!AL$16:AL$57,Баланс!$A$16:$A$57,$A564,Баланс!$B$16:$B$57,"ПО")</f>
        <v>0</v>
      </c>
      <c r="AN564" s="478"/>
      <c r="AO564" s="478"/>
      <c r="AP564" s="478"/>
      <c r="AQ564" s="478"/>
      <c r="AR564" s="478"/>
      <c r="AS564" s="478"/>
      <c r="AT564" s="478"/>
      <c r="AU564" s="478"/>
      <c r="AV564" s="478"/>
      <c r="AW564" s="478"/>
      <c r="AX564" s="179"/>
      <c r="AY564" s="179"/>
      <c r="AZ564" s="179"/>
    </row>
    <row r="565" spans="1:52" s="104" customFormat="1" outlineLevel="1">
      <c r="A565" s="477" t="str">
        <f t="shared" si="105"/>
        <v>1</v>
      </c>
      <c r="B565" s="104" t="s">
        <v>1180</v>
      </c>
      <c r="D565" s="104" t="s">
        <v>1486</v>
      </c>
      <c r="L565" s="362" t="s">
        <v>1487</v>
      </c>
      <c r="M565" s="367" t="s">
        <v>1108</v>
      </c>
      <c r="N565" s="364" t="s">
        <v>311</v>
      </c>
      <c r="O565" s="462">
        <f>O564/2</f>
        <v>295</v>
      </c>
      <c r="P565" s="462">
        <f>P564/2</f>
        <v>325.89499999999998</v>
      </c>
      <c r="Q565" s="462">
        <f>Q564/2</f>
        <v>325.89499999999998</v>
      </c>
      <c r="R565" s="405">
        <f t="shared" si="106"/>
        <v>0</v>
      </c>
      <c r="S565" s="462">
        <f t="shared" ref="S565:AM565" si="116">S564/2</f>
        <v>285.86</v>
      </c>
      <c r="T565" s="462">
        <f t="shared" si="116"/>
        <v>342.58000000000004</v>
      </c>
      <c r="U565" s="462">
        <f t="shared" si="116"/>
        <v>0</v>
      </c>
      <c r="V565" s="462">
        <f t="shared" si="116"/>
        <v>0</v>
      </c>
      <c r="W565" s="462">
        <f t="shared" si="116"/>
        <v>0</v>
      </c>
      <c r="X565" s="462">
        <f t="shared" si="116"/>
        <v>0</v>
      </c>
      <c r="Y565" s="462">
        <f t="shared" si="116"/>
        <v>0</v>
      </c>
      <c r="Z565" s="462">
        <f t="shared" si="116"/>
        <v>0</v>
      </c>
      <c r="AA565" s="462">
        <f t="shared" si="116"/>
        <v>0</v>
      </c>
      <c r="AB565" s="462">
        <f t="shared" si="116"/>
        <v>0</v>
      </c>
      <c r="AC565" s="462">
        <f t="shared" si="116"/>
        <v>0</v>
      </c>
      <c r="AD565" s="462">
        <f t="shared" si="116"/>
        <v>342.58000000000004</v>
      </c>
      <c r="AE565" s="462">
        <f t="shared" si="116"/>
        <v>0</v>
      </c>
      <c r="AF565" s="462">
        <f t="shared" si="116"/>
        <v>0</v>
      </c>
      <c r="AG565" s="462">
        <f t="shared" si="116"/>
        <v>0</v>
      </c>
      <c r="AH565" s="462">
        <f t="shared" si="116"/>
        <v>0</v>
      </c>
      <c r="AI565" s="462">
        <f t="shared" si="116"/>
        <v>0</v>
      </c>
      <c r="AJ565" s="462">
        <f t="shared" si="116"/>
        <v>0</v>
      </c>
      <c r="AK565" s="462">
        <f t="shared" si="116"/>
        <v>0</v>
      </c>
      <c r="AL565" s="462">
        <f t="shared" si="116"/>
        <v>0</v>
      </c>
      <c r="AM565" s="462">
        <f t="shared" si="116"/>
        <v>0</v>
      </c>
      <c r="AN565" s="479"/>
      <c r="AO565" s="479"/>
      <c r="AP565" s="479"/>
      <c r="AQ565" s="479"/>
      <c r="AR565" s="479"/>
      <c r="AS565" s="479"/>
      <c r="AT565" s="479"/>
      <c r="AU565" s="479"/>
      <c r="AV565" s="479"/>
      <c r="AW565" s="479"/>
      <c r="AX565" s="179"/>
      <c r="AY565" s="179"/>
      <c r="AZ565" s="179"/>
    </row>
    <row r="566" spans="1:52" s="104" customFormat="1" outlineLevel="1">
      <c r="A566" s="477" t="str">
        <f t="shared" si="105"/>
        <v>1</v>
      </c>
      <c r="B566" s="104" t="s">
        <v>1175</v>
      </c>
      <c r="D566" s="104" t="s">
        <v>1488</v>
      </c>
      <c r="L566" s="362" t="s">
        <v>1489</v>
      </c>
      <c r="M566" s="367" t="s">
        <v>1107</v>
      </c>
      <c r="N566" s="364" t="s">
        <v>655</v>
      </c>
      <c r="O566" s="463"/>
      <c r="P566" s="463"/>
      <c r="Q566" s="463"/>
      <c r="R566" s="366">
        <f t="shared" si="106"/>
        <v>0</v>
      </c>
      <c r="S566" s="463"/>
      <c r="T566" s="463"/>
      <c r="U566" s="463"/>
      <c r="V566" s="463"/>
      <c r="W566" s="463"/>
      <c r="X566" s="463"/>
      <c r="Y566" s="463"/>
      <c r="Z566" s="463"/>
      <c r="AA566" s="463"/>
      <c r="AB566" s="463"/>
      <c r="AC566" s="463"/>
      <c r="AD566" s="463"/>
      <c r="AE566" s="463"/>
      <c r="AF566" s="463"/>
      <c r="AG566" s="463"/>
      <c r="AH566" s="463"/>
      <c r="AI566" s="463"/>
      <c r="AJ566" s="463"/>
      <c r="AK566" s="463"/>
      <c r="AL566" s="463"/>
      <c r="AM566" s="463"/>
      <c r="AN566" s="479"/>
      <c r="AO566" s="479"/>
      <c r="AP566" s="479"/>
      <c r="AQ566" s="479"/>
      <c r="AR566" s="479"/>
      <c r="AS566" s="479"/>
      <c r="AT566" s="479"/>
      <c r="AU566" s="479"/>
      <c r="AV566" s="479"/>
      <c r="AW566" s="479"/>
      <c r="AX566" s="179"/>
      <c r="AY566" s="179"/>
      <c r="AZ566" s="179"/>
    </row>
    <row r="567" spans="1:52" s="104" customFormat="1" outlineLevel="1">
      <c r="A567" s="477" t="str">
        <f t="shared" si="105"/>
        <v>1</v>
      </c>
      <c r="B567" s="104" t="s">
        <v>1181</v>
      </c>
      <c r="D567" s="104" t="s">
        <v>1490</v>
      </c>
      <c r="L567" s="362" t="s">
        <v>1491</v>
      </c>
      <c r="M567" s="367" t="s">
        <v>1109</v>
      </c>
      <c r="N567" s="364" t="s">
        <v>311</v>
      </c>
      <c r="O567" s="537">
        <f>O564-O565</f>
        <v>295</v>
      </c>
      <c r="P567" s="537">
        <f>P564-P565</f>
        <v>325.89499999999998</v>
      </c>
      <c r="Q567" s="537">
        <f>Q564-Q565</f>
        <v>325.89499999999998</v>
      </c>
      <c r="R567" s="405">
        <f t="shared" si="106"/>
        <v>0</v>
      </c>
      <c r="S567" s="537">
        <f t="shared" ref="S567:AM567" si="117">S564-S565</f>
        <v>285.86</v>
      </c>
      <c r="T567" s="537">
        <f t="shared" si="117"/>
        <v>342.58000000000004</v>
      </c>
      <c r="U567" s="537">
        <f t="shared" si="117"/>
        <v>0</v>
      </c>
      <c r="V567" s="537">
        <f t="shared" si="117"/>
        <v>0</v>
      </c>
      <c r="W567" s="537">
        <f t="shared" si="117"/>
        <v>0</v>
      </c>
      <c r="X567" s="537">
        <f t="shared" si="117"/>
        <v>0</v>
      </c>
      <c r="Y567" s="537">
        <f t="shared" si="117"/>
        <v>0</v>
      </c>
      <c r="Z567" s="537">
        <f t="shared" si="117"/>
        <v>0</v>
      </c>
      <c r="AA567" s="537">
        <f t="shared" si="117"/>
        <v>0</v>
      </c>
      <c r="AB567" s="537">
        <f t="shared" si="117"/>
        <v>0</v>
      </c>
      <c r="AC567" s="537">
        <f t="shared" si="117"/>
        <v>0</v>
      </c>
      <c r="AD567" s="537">
        <f t="shared" si="117"/>
        <v>342.58000000000004</v>
      </c>
      <c r="AE567" s="537">
        <f t="shared" si="117"/>
        <v>0</v>
      </c>
      <c r="AF567" s="537">
        <f t="shared" si="117"/>
        <v>0</v>
      </c>
      <c r="AG567" s="537">
        <f t="shared" si="117"/>
        <v>0</v>
      </c>
      <c r="AH567" s="537">
        <f t="shared" si="117"/>
        <v>0</v>
      </c>
      <c r="AI567" s="537">
        <f t="shared" si="117"/>
        <v>0</v>
      </c>
      <c r="AJ567" s="537">
        <f t="shared" si="117"/>
        <v>0</v>
      </c>
      <c r="AK567" s="537">
        <f t="shared" si="117"/>
        <v>0</v>
      </c>
      <c r="AL567" s="537">
        <f t="shared" si="117"/>
        <v>0</v>
      </c>
      <c r="AM567" s="537">
        <f t="shared" si="117"/>
        <v>0</v>
      </c>
      <c r="AN567" s="479"/>
      <c r="AO567" s="479"/>
      <c r="AP567" s="479"/>
      <c r="AQ567" s="479"/>
      <c r="AR567" s="479"/>
      <c r="AS567" s="479"/>
      <c r="AT567" s="479"/>
      <c r="AU567" s="479"/>
      <c r="AV567" s="479"/>
      <c r="AW567" s="479"/>
      <c r="AX567" s="179"/>
      <c r="AY567" s="179"/>
      <c r="AZ567" s="179"/>
    </row>
    <row r="568" spans="1:52" s="104" customFormat="1" outlineLevel="1">
      <c r="A568" s="477" t="str">
        <f t="shared" si="105"/>
        <v>1</v>
      </c>
      <c r="B568" s="104" t="s">
        <v>1176</v>
      </c>
      <c r="D568" s="104" t="s">
        <v>1492</v>
      </c>
      <c r="L568" s="362" t="s">
        <v>1493</v>
      </c>
      <c r="M568" s="367" t="s">
        <v>1110</v>
      </c>
      <c r="N568" s="364" t="s">
        <v>655</v>
      </c>
      <c r="O568" s="463">
        <f>IF(O567=0,0,(O561-O565*O566)/O567)</f>
        <v>0.63338983050847453</v>
      </c>
      <c r="P568" s="463" t="e">
        <f>IF(P567=0,0,(P561-P565*P566)/P567)</f>
        <v>#N/A</v>
      </c>
      <c r="Q568" s="463" t="e">
        <f>IF(Q567=0,0,(Q561-Q565*Q566)/Q567)</f>
        <v>#N/A</v>
      </c>
      <c r="R568" s="366" t="e">
        <f t="shared" si="106"/>
        <v>#N/A</v>
      </c>
      <c r="S568" s="463" t="e">
        <f t="shared" ref="S568:AM568" si="118">IF(S567=0,0,(S561-S565*S566)/S567)</f>
        <v>#N/A</v>
      </c>
      <c r="T568" s="463" t="e">
        <f>IF(T567=0,0,(T561-T565*T566)/T567)</f>
        <v>#N/A</v>
      </c>
      <c r="U568" s="463">
        <f t="shared" si="118"/>
        <v>0</v>
      </c>
      <c r="V568" s="463">
        <f t="shared" si="118"/>
        <v>0</v>
      </c>
      <c r="W568" s="463">
        <f t="shared" si="118"/>
        <v>0</v>
      </c>
      <c r="X568" s="463">
        <f t="shared" si="118"/>
        <v>0</v>
      </c>
      <c r="Y568" s="463">
        <f t="shared" si="118"/>
        <v>0</v>
      </c>
      <c r="Z568" s="463">
        <f t="shared" si="118"/>
        <v>0</v>
      </c>
      <c r="AA568" s="463">
        <f t="shared" si="118"/>
        <v>0</v>
      </c>
      <c r="AB568" s="463">
        <f t="shared" si="118"/>
        <v>0</v>
      </c>
      <c r="AC568" s="463">
        <f t="shared" si="118"/>
        <v>0</v>
      </c>
      <c r="AD568" s="463" t="e">
        <f>IF(AD567=0,0,(AD561-AD565*AD566)/AD567)</f>
        <v>#N/A</v>
      </c>
      <c r="AE568" s="463">
        <f>IF(AE567=0,0,(AE561-AE565*AE566)/AE567)</f>
        <v>0</v>
      </c>
      <c r="AF568" s="463">
        <f>IF(AF567=0,0,(AF561-AF565*AF566)/AF567)</f>
        <v>0</v>
      </c>
      <c r="AG568" s="463">
        <f t="shared" si="118"/>
        <v>0</v>
      </c>
      <c r="AH568" s="463">
        <f t="shared" si="118"/>
        <v>0</v>
      </c>
      <c r="AI568" s="463">
        <f t="shared" si="118"/>
        <v>0</v>
      </c>
      <c r="AJ568" s="463">
        <f t="shared" si="118"/>
        <v>0</v>
      </c>
      <c r="AK568" s="463">
        <f t="shared" si="118"/>
        <v>0</v>
      </c>
      <c r="AL568" s="463">
        <f t="shared" si="118"/>
        <v>0</v>
      </c>
      <c r="AM568" s="463">
        <f t="shared" si="118"/>
        <v>0</v>
      </c>
      <c r="AN568" s="479"/>
      <c r="AO568" s="479"/>
      <c r="AP568" s="479"/>
      <c r="AQ568" s="479"/>
      <c r="AR568" s="479"/>
      <c r="AS568" s="479"/>
      <c r="AT568" s="479"/>
      <c r="AU568" s="479"/>
      <c r="AV568" s="479"/>
      <c r="AW568" s="479"/>
      <c r="AX568" s="179"/>
      <c r="AY568" s="179"/>
      <c r="AZ568" s="179"/>
    </row>
    <row r="569" spans="1:52" s="104" customFormat="1" outlineLevel="1">
      <c r="A569" s="477" t="str">
        <f t="shared" si="105"/>
        <v>1</v>
      </c>
      <c r="D569" s="104" t="s">
        <v>1494</v>
      </c>
      <c r="L569" s="362" t="s">
        <v>1495</v>
      </c>
      <c r="M569" s="363" t="s">
        <v>656</v>
      </c>
      <c r="N569" s="364" t="s">
        <v>137</v>
      </c>
      <c r="O569" s="461">
        <f>IF(O566=0,0,O568/O566*100)</f>
        <v>0</v>
      </c>
      <c r="P569" s="461">
        <f>IF(P566=0,0,P568/P566*100)</f>
        <v>0</v>
      </c>
      <c r="Q569" s="461">
        <f>IF(Q566=0,0,Q568/Q566*100)</f>
        <v>0</v>
      </c>
      <c r="R569" s="479"/>
      <c r="S569" s="461">
        <f t="shared" ref="S569:AM569" si="119">IF(S566=0,0,S568/S566*100)</f>
        <v>0</v>
      </c>
      <c r="T569" s="461">
        <f t="shared" si="119"/>
        <v>0</v>
      </c>
      <c r="U569" s="461">
        <f t="shared" si="119"/>
        <v>0</v>
      </c>
      <c r="V569" s="461">
        <f t="shared" si="119"/>
        <v>0</v>
      </c>
      <c r="W569" s="461">
        <f t="shared" si="119"/>
        <v>0</v>
      </c>
      <c r="X569" s="461">
        <f t="shared" si="119"/>
        <v>0</v>
      </c>
      <c r="Y569" s="461">
        <f t="shared" si="119"/>
        <v>0</v>
      </c>
      <c r="Z569" s="461">
        <f t="shared" si="119"/>
        <v>0</v>
      </c>
      <c r="AA569" s="461">
        <f t="shared" si="119"/>
        <v>0</v>
      </c>
      <c r="AB569" s="461">
        <f t="shared" si="119"/>
        <v>0</v>
      </c>
      <c r="AC569" s="461">
        <f t="shared" si="119"/>
        <v>0</v>
      </c>
      <c r="AD569" s="461">
        <f t="shared" si="119"/>
        <v>0</v>
      </c>
      <c r="AE569" s="461">
        <f t="shared" si="119"/>
        <v>0</v>
      </c>
      <c r="AF569" s="461">
        <f t="shared" si="119"/>
        <v>0</v>
      </c>
      <c r="AG569" s="461">
        <f t="shared" si="119"/>
        <v>0</v>
      </c>
      <c r="AH569" s="461">
        <f t="shared" si="119"/>
        <v>0</v>
      </c>
      <c r="AI569" s="461">
        <f t="shared" si="119"/>
        <v>0</v>
      </c>
      <c r="AJ569" s="461">
        <f t="shared" si="119"/>
        <v>0</v>
      </c>
      <c r="AK569" s="461">
        <f t="shared" si="119"/>
        <v>0</v>
      </c>
      <c r="AL569" s="461">
        <f t="shared" si="119"/>
        <v>0</v>
      </c>
      <c r="AM569" s="461">
        <f t="shared" si="119"/>
        <v>0</v>
      </c>
      <c r="AN569" s="479"/>
      <c r="AO569" s="479"/>
      <c r="AP569" s="479"/>
      <c r="AQ569" s="479"/>
      <c r="AR569" s="479"/>
      <c r="AS569" s="479"/>
      <c r="AT569" s="479"/>
      <c r="AU569" s="479"/>
      <c r="AV569" s="479"/>
      <c r="AW569" s="479"/>
      <c r="AX569" s="179"/>
      <c r="AY569" s="179"/>
      <c r="AZ569" s="179"/>
    </row>
    <row r="570" spans="1:52" s="104" customFormat="1" outlineLevel="1">
      <c r="A570" s="477" t="str">
        <f t="shared" si="105"/>
        <v>1</v>
      </c>
      <c r="D570" s="104" t="s">
        <v>1496</v>
      </c>
      <c r="L570" s="362" t="s">
        <v>1497</v>
      </c>
      <c r="M570" s="363" t="s">
        <v>657</v>
      </c>
      <c r="N570" s="364" t="s">
        <v>655</v>
      </c>
      <c r="O570" s="463">
        <f>IF(O564=0,0,O561/O564)</f>
        <v>0.31669491525423726</v>
      </c>
      <c r="P570" s="463" t="e">
        <f>IF(P564=0,0,P561/P564)</f>
        <v>#N/A</v>
      </c>
      <c r="Q570" s="463" t="e">
        <f>IF(Q564=0,0,Q561/Q564)</f>
        <v>#N/A</v>
      </c>
      <c r="R570" s="366" t="e">
        <f t="shared" si="106"/>
        <v>#N/A</v>
      </c>
      <c r="S570" s="463" t="e">
        <f>IF(S564=0,0,S561/S564)</f>
        <v>#N/A</v>
      </c>
      <c r="T570" s="463" t="e">
        <f>IF(T564=0,0,T561/T564)</f>
        <v>#N/A</v>
      </c>
      <c r="U570" s="463">
        <f t="shared" ref="U570:AM570" si="120">IF(U564=0,0,U561/U564)</f>
        <v>0</v>
      </c>
      <c r="V570" s="463">
        <f t="shared" si="120"/>
        <v>0</v>
      </c>
      <c r="W570" s="463">
        <f t="shared" si="120"/>
        <v>0</v>
      </c>
      <c r="X570" s="463">
        <f t="shared" si="120"/>
        <v>0</v>
      </c>
      <c r="Y570" s="463">
        <f t="shared" si="120"/>
        <v>0</v>
      </c>
      <c r="Z570" s="463">
        <f t="shared" si="120"/>
        <v>0</v>
      </c>
      <c r="AA570" s="463">
        <f t="shared" si="120"/>
        <v>0</v>
      </c>
      <c r="AB570" s="463">
        <f t="shared" si="120"/>
        <v>0</v>
      </c>
      <c r="AC570" s="463">
        <f t="shared" si="120"/>
        <v>0</v>
      </c>
      <c r="AD570" s="463" t="e">
        <f>IF(AD564=0,0,AD561/AD564)</f>
        <v>#N/A</v>
      </c>
      <c r="AE570" s="463">
        <f>IF(AE564=0,0,AE561/AE564)</f>
        <v>0</v>
      </c>
      <c r="AF570" s="463">
        <f>IF(AF564=0,0,AF561/AF564)</f>
        <v>0</v>
      </c>
      <c r="AG570" s="463">
        <f t="shared" si="120"/>
        <v>0</v>
      </c>
      <c r="AH570" s="463">
        <f t="shared" si="120"/>
        <v>0</v>
      </c>
      <c r="AI570" s="463">
        <f t="shared" si="120"/>
        <v>0</v>
      </c>
      <c r="AJ570" s="463">
        <f t="shared" si="120"/>
        <v>0</v>
      </c>
      <c r="AK570" s="463">
        <f t="shared" si="120"/>
        <v>0</v>
      </c>
      <c r="AL570" s="463">
        <f t="shared" si="120"/>
        <v>0</v>
      </c>
      <c r="AM570" s="463">
        <f t="shared" si="120"/>
        <v>0</v>
      </c>
      <c r="AN570" s="479"/>
      <c r="AO570" s="479"/>
      <c r="AP570" s="479"/>
      <c r="AQ570" s="479"/>
      <c r="AR570" s="479"/>
      <c r="AS570" s="479"/>
      <c r="AT570" s="479"/>
      <c r="AU570" s="479"/>
      <c r="AV570" s="479"/>
      <c r="AW570" s="479"/>
      <c r="AX570" s="179"/>
      <c r="AY570" s="179"/>
      <c r="AZ570" s="179"/>
    </row>
    <row r="571" spans="1:52" s="109" customFormat="1" outlineLevel="1">
      <c r="A571" s="477" t="str">
        <f t="shared" si="105"/>
        <v>1</v>
      </c>
      <c r="C571" s="104"/>
      <c r="D571" s="104" t="s">
        <v>1498</v>
      </c>
      <c r="L571" s="381" t="s">
        <v>130</v>
      </c>
      <c r="M571" s="384" t="s">
        <v>1307</v>
      </c>
      <c r="N571" s="382" t="s">
        <v>352</v>
      </c>
      <c r="O571" s="464">
        <f>IF(O564=0,0,O561/O564*O572)</f>
        <v>0</v>
      </c>
      <c r="P571" s="464" t="e">
        <f>IF(P564=0,0,P561/P564*P572)</f>
        <v>#N/A</v>
      </c>
      <c r="Q571" s="464" t="e">
        <f>IF(Q564=0,0,Q561/Q564*Q572)</f>
        <v>#N/A</v>
      </c>
      <c r="R571" s="361">
        <f>R573*R574+R575*R576</f>
        <v>0</v>
      </c>
      <c r="S571" s="464" t="e">
        <f>IF(S564=0,0,S561/S564*S572)</f>
        <v>#N/A</v>
      </c>
      <c r="T571" s="464" t="e">
        <f>IF(T564=0,0,T561/T564*T572)</f>
        <v>#N/A</v>
      </c>
      <c r="U571" s="464">
        <f t="shared" ref="U571:AM571" si="121">IF(U564=0,0,U561/U564*U572)</f>
        <v>0</v>
      </c>
      <c r="V571" s="464">
        <f t="shared" si="121"/>
        <v>0</v>
      </c>
      <c r="W571" s="464">
        <f t="shared" si="121"/>
        <v>0</v>
      </c>
      <c r="X571" s="464">
        <f t="shared" si="121"/>
        <v>0</v>
      </c>
      <c r="Y571" s="464">
        <f t="shared" si="121"/>
        <v>0</v>
      </c>
      <c r="Z571" s="464">
        <f t="shared" si="121"/>
        <v>0</v>
      </c>
      <c r="AA571" s="464">
        <f t="shared" si="121"/>
        <v>0</v>
      </c>
      <c r="AB571" s="464">
        <f t="shared" si="121"/>
        <v>0</v>
      </c>
      <c r="AC571" s="464">
        <f t="shared" si="121"/>
        <v>0</v>
      </c>
      <c r="AD571" s="464" t="e">
        <f>IF(AD564=0,0,AD561/AD564*AD572)</f>
        <v>#N/A</v>
      </c>
      <c r="AE571" s="464">
        <f>IF(AE564=0,0,AE561/AE564*AE572)</f>
        <v>0</v>
      </c>
      <c r="AF571" s="464">
        <f>IF(AF564=0,0,AF561/AF564*AF572)</f>
        <v>0</v>
      </c>
      <c r="AG571" s="464">
        <f t="shared" si="121"/>
        <v>0</v>
      </c>
      <c r="AH571" s="464">
        <f t="shared" si="121"/>
        <v>0</v>
      </c>
      <c r="AI571" s="464">
        <f t="shared" si="121"/>
        <v>0</v>
      </c>
      <c r="AJ571" s="464">
        <f t="shared" si="121"/>
        <v>0</v>
      </c>
      <c r="AK571" s="464">
        <f t="shared" si="121"/>
        <v>0</v>
      </c>
      <c r="AL571" s="464">
        <f t="shared" si="121"/>
        <v>0</v>
      </c>
      <c r="AM571" s="464">
        <f t="shared" si="121"/>
        <v>0</v>
      </c>
      <c r="AN571" s="360" t="e">
        <f>IF(S571=0,0,(AD571-S571)/S571*100)</f>
        <v>#N/A</v>
      </c>
      <c r="AO571" s="360" t="e">
        <f>IF(AD571=0,0,(AE571-AD571)/AD571*100)</f>
        <v>#N/A</v>
      </c>
      <c r="AP571" s="360">
        <f>IF(AE571=0,0,(AF571-AE571)/AE571*100)</f>
        <v>0</v>
      </c>
      <c r="AQ571" s="360">
        <f>IF(AF571=0,0,(AG571-AF571)/AF571*100)</f>
        <v>0</v>
      </c>
      <c r="AR571" s="360">
        <f t="shared" ref="AR571:AW571" si="122">IF(AG571=0,0,(AH571-AG571)/AG571*100)</f>
        <v>0</v>
      </c>
      <c r="AS571" s="360">
        <f t="shared" si="122"/>
        <v>0</v>
      </c>
      <c r="AT571" s="360">
        <f t="shared" si="122"/>
        <v>0</v>
      </c>
      <c r="AU571" s="360">
        <f t="shared" si="122"/>
        <v>0</v>
      </c>
      <c r="AV571" s="360">
        <f t="shared" si="122"/>
        <v>0</v>
      </c>
      <c r="AW571" s="360">
        <f t="shared" si="122"/>
        <v>0</v>
      </c>
      <c r="AX571" s="179"/>
      <c r="AY571" s="179"/>
      <c r="AZ571" s="179"/>
    </row>
    <row r="572" spans="1:52" s="109" customFormat="1" outlineLevel="1">
      <c r="A572" s="477" t="str">
        <f t="shared" si="105"/>
        <v>1</v>
      </c>
      <c r="B572" s="104" t="s">
        <v>1185</v>
      </c>
      <c r="C572" s="104"/>
      <c r="D572" s="104" t="s">
        <v>1499</v>
      </c>
      <c r="L572" s="381" t="s">
        <v>131</v>
      </c>
      <c r="M572" s="384" t="s">
        <v>658</v>
      </c>
      <c r="N572" s="382" t="s">
        <v>311</v>
      </c>
      <c r="O572" s="460">
        <f>SUMIFS(Баланс!O$16:O$57,Баланс!$A$16:$A$57,$A572,Баланс!$B$16:$B$57,"население")</f>
        <v>0</v>
      </c>
      <c r="P572" s="460">
        <f>SUMIFS(Баланс!P$16:P$57,Баланс!$A$16:$A$57,$A572,Баланс!$B$16:$B$57,"население")</f>
        <v>0</v>
      </c>
      <c r="Q572" s="460">
        <f>SUMIFS(Баланс!Q$16:Q$57,Баланс!$A$16:$A$57,$A572,Баланс!$B$16:$B$57,"население")</f>
        <v>0</v>
      </c>
      <c r="R572" s="460">
        <f>Q572-P572</f>
        <v>0</v>
      </c>
      <c r="S572" s="460">
        <f>SUMIFS(Баланс!R$16:R$57,Баланс!$A$16:$A$57,$A572,Баланс!$B$16:$B$57,"население")</f>
        <v>0</v>
      </c>
      <c r="T572" s="460">
        <f>SUMIFS(Баланс!S$16:S$57,Баланс!$A$16:$A$57,$A572,Баланс!$B$16:$B$57,"население")</f>
        <v>0</v>
      </c>
      <c r="U572" s="460">
        <f>SUMIFS(Баланс!T$16:T$57,Баланс!$A$16:$A$57,$A572,Баланс!$B$16:$B$57,"население")</f>
        <v>0</v>
      </c>
      <c r="V572" s="460">
        <f>SUMIFS(Баланс!U$16:U$57,Баланс!$A$16:$A$57,$A572,Баланс!$B$16:$B$57,"население")</f>
        <v>0</v>
      </c>
      <c r="W572" s="460">
        <f>SUMIFS(Баланс!V$16:V$57,Баланс!$A$16:$A$57,$A572,Баланс!$B$16:$B$57,"население")</f>
        <v>0</v>
      </c>
      <c r="X572" s="460">
        <f>SUMIFS(Баланс!W$16:W$57,Баланс!$A$16:$A$57,$A572,Баланс!$B$16:$B$57,"население")</f>
        <v>0</v>
      </c>
      <c r="Y572" s="460">
        <f>SUMIFS(Баланс!X$16:X$57,Баланс!$A$16:$A$57,$A572,Баланс!$B$16:$B$57,"население")</f>
        <v>0</v>
      </c>
      <c r="Z572" s="460">
        <f>SUMIFS(Баланс!Y$16:Y$57,Баланс!$A$16:$A$57,$A572,Баланс!$B$16:$B$57,"население")</f>
        <v>0</v>
      </c>
      <c r="AA572" s="460">
        <f>SUMIFS(Баланс!Z$16:Z$57,Баланс!$A$16:$A$57,$A572,Баланс!$B$16:$B$57,"население")</f>
        <v>0</v>
      </c>
      <c r="AB572" s="460">
        <f>SUMIFS(Баланс!AA$16:AA$57,Баланс!$A$16:$A$57,$A572,Баланс!$B$16:$B$57,"население")</f>
        <v>0</v>
      </c>
      <c r="AC572" s="460">
        <f>SUMIFS(Баланс!AB$16:AB$57,Баланс!$A$16:$A$57,$A572,Баланс!$B$16:$B$57,"население")</f>
        <v>0</v>
      </c>
      <c r="AD572" s="460">
        <f>SUMIFS(Баланс!AC$16:AC$57,Баланс!$A$16:$A$57,$A572,Баланс!$B$16:$B$57,"население")</f>
        <v>0</v>
      </c>
      <c r="AE572" s="460">
        <f>SUMIFS(Баланс!AD$16:AD$57,Баланс!$A$16:$A$57,$A572,Баланс!$B$16:$B$57,"население")</f>
        <v>0</v>
      </c>
      <c r="AF572" s="460">
        <f>SUMIFS(Баланс!AE$16:AE$57,Баланс!$A$16:$A$57,$A572,Баланс!$B$16:$B$57,"население")</f>
        <v>0</v>
      </c>
      <c r="AG572" s="460">
        <f>SUMIFS(Баланс!AF$16:AF$57,Баланс!$A$16:$A$57,$A572,Баланс!$B$16:$B$57,"население")</f>
        <v>0</v>
      </c>
      <c r="AH572" s="460">
        <f>SUMIFS(Баланс!AG$16:AG$57,Баланс!$A$16:$A$57,$A572,Баланс!$B$16:$B$57,"население")</f>
        <v>0</v>
      </c>
      <c r="AI572" s="460">
        <f>SUMIFS(Баланс!AH$16:AH$57,Баланс!$A$16:$A$57,$A572,Баланс!$B$16:$B$57,"население")</f>
        <v>0</v>
      </c>
      <c r="AJ572" s="460">
        <f>SUMIFS(Баланс!AI$16:AI$57,Баланс!$A$16:$A$57,$A572,Баланс!$B$16:$B$57,"население")</f>
        <v>0</v>
      </c>
      <c r="AK572" s="460">
        <f>SUMIFS(Баланс!AJ$16:AJ$57,Баланс!$A$16:$A$57,$A572,Баланс!$B$16:$B$57,"население")</f>
        <v>0</v>
      </c>
      <c r="AL572" s="460">
        <f>SUMIFS(Баланс!AK$16:AK$57,Баланс!$A$16:$A$57,$A572,Баланс!$B$16:$B$57,"население")</f>
        <v>0</v>
      </c>
      <c r="AM572" s="460">
        <f>SUMIFS(Баланс!AL$16:AL$57,Баланс!$A$16:$A$57,$A572,Баланс!$B$16:$B$57,"население")</f>
        <v>0</v>
      </c>
      <c r="AN572" s="478"/>
      <c r="AO572" s="478"/>
      <c r="AP572" s="478"/>
      <c r="AQ572" s="478"/>
      <c r="AR572" s="478"/>
      <c r="AS572" s="478"/>
      <c r="AT572" s="478"/>
      <c r="AU572" s="478"/>
      <c r="AV572" s="478"/>
      <c r="AW572" s="478"/>
      <c r="AX572" s="179"/>
      <c r="AY572" s="179"/>
      <c r="AZ572" s="179"/>
    </row>
    <row r="573" spans="1:52" s="104" customFormat="1" outlineLevel="1">
      <c r="A573" s="477" t="str">
        <f t="shared" si="105"/>
        <v>1</v>
      </c>
      <c r="B573" s="104" t="s">
        <v>1182</v>
      </c>
      <c r="D573" s="104" t="s">
        <v>1500</v>
      </c>
      <c r="L573" s="389" t="s">
        <v>1501</v>
      </c>
      <c r="M573" s="367" t="s">
        <v>1169</v>
      </c>
      <c r="N573" s="390" t="s">
        <v>311</v>
      </c>
      <c r="O573" s="462">
        <f>O572/2</f>
        <v>0</v>
      </c>
      <c r="P573" s="462">
        <f>P572/2</f>
        <v>0</v>
      </c>
      <c r="Q573" s="462">
        <f>Q572/2</f>
        <v>0</v>
      </c>
      <c r="R573" s="405">
        <f>Q573-P573</f>
        <v>0</v>
      </c>
      <c r="S573" s="462">
        <f>S572/2</f>
        <v>0</v>
      </c>
      <c r="T573" s="462">
        <f t="shared" ref="T573:AM573" si="123">T572/2</f>
        <v>0</v>
      </c>
      <c r="U573" s="462">
        <f t="shared" si="123"/>
        <v>0</v>
      </c>
      <c r="V573" s="462">
        <f t="shared" si="123"/>
        <v>0</v>
      </c>
      <c r="W573" s="462">
        <f t="shared" si="123"/>
        <v>0</v>
      </c>
      <c r="X573" s="462">
        <f t="shared" si="123"/>
        <v>0</v>
      </c>
      <c r="Y573" s="462">
        <f t="shared" si="123"/>
        <v>0</v>
      </c>
      <c r="Z573" s="462">
        <f t="shared" si="123"/>
        <v>0</v>
      </c>
      <c r="AA573" s="462">
        <f t="shared" si="123"/>
        <v>0</v>
      </c>
      <c r="AB573" s="462">
        <f t="shared" si="123"/>
        <v>0</v>
      </c>
      <c r="AC573" s="462">
        <f t="shared" si="123"/>
        <v>0</v>
      </c>
      <c r="AD573" s="462">
        <f t="shared" si="123"/>
        <v>0</v>
      </c>
      <c r="AE573" s="462">
        <f t="shared" si="123"/>
        <v>0</v>
      </c>
      <c r="AF573" s="462">
        <f t="shared" si="123"/>
        <v>0</v>
      </c>
      <c r="AG573" s="462">
        <f t="shared" si="123"/>
        <v>0</v>
      </c>
      <c r="AH573" s="462">
        <f t="shared" si="123"/>
        <v>0</v>
      </c>
      <c r="AI573" s="462">
        <f t="shared" si="123"/>
        <v>0</v>
      </c>
      <c r="AJ573" s="462">
        <f t="shared" si="123"/>
        <v>0</v>
      </c>
      <c r="AK573" s="462">
        <f t="shared" si="123"/>
        <v>0</v>
      </c>
      <c r="AL573" s="462">
        <f t="shared" si="123"/>
        <v>0</v>
      </c>
      <c r="AM573" s="462">
        <f t="shared" si="123"/>
        <v>0</v>
      </c>
      <c r="AN573" s="479"/>
      <c r="AO573" s="479"/>
      <c r="AP573" s="479"/>
      <c r="AQ573" s="479"/>
      <c r="AR573" s="479"/>
      <c r="AS573" s="479"/>
      <c r="AT573" s="479"/>
      <c r="AU573" s="479"/>
      <c r="AV573" s="479"/>
      <c r="AW573" s="479"/>
      <c r="AX573" s="179"/>
      <c r="AY573" s="179"/>
      <c r="AZ573" s="179"/>
    </row>
    <row r="574" spans="1:52" s="104" customFormat="1" outlineLevel="1">
      <c r="A574" s="477" t="str">
        <f t="shared" si="105"/>
        <v>1</v>
      </c>
      <c r="B574" s="104" t="s">
        <v>1178</v>
      </c>
      <c r="D574" s="104" t="s">
        <v>1502</v>
      </c>
      <c r="L574" s="389" t="s">
        <v>1503</v>
      </c>
      <c r="M574" s="367" t="s">
        <v>1170</v>
      </c>
      <c r="N574" s="390" t="s">
        <v>655</v>
      </c>
      <c r="O574" s="463">
        <f>IF(O572=0,0,O566*IF(plat_nds="да",1.2,1) )</f>
        <v>0</v>
      </c>
      <c r="P574" s="463">
        <f>IF(P572=0,0,P566*IF(plat_nds="да",1.2,1) )</f>
        <v>0</v>
      </c>
      <c r="Q574" s="463">
        <f>IF(Q572=0,0,Q566*IF(plat_nds="да",1.2,1) )</f>
        <v>0</v>
      </c>
      <c r="R574" s="366">
        <f>Q574-P574</f>
        <v>0</v>
      </c>
      <c r="S574" s="463">
        <f t="shared" ref="S574:AM574" si="124">IF(S572=0,0,S566*IF(plat_nds="да",1.2,1) )</f>
        <v>0</v>
      </c>
      <c r="T574" s="463">
        <f t="shared" si="124"/>
        <v>0</v>
      </c>
      <c r="U574" s="463">
        <f t="shared" si="124"/>
        <v>0</v>
      </c>
      <c r="V574" s="463">
        <f t="shared" si="124"/>
        <v>0</v>
      </c>
      <c r="W574" s="463">
        <f t="shared" si="124"/>
        <v>0</v>
      </c>
      <c r="X574" s="463">
        <f t="shared" si="124"/>
        <v>0</v>
      </c>
      <c r="Y574" s="463">
        <f t="shared" si="124"/>
        <v>0</v>
      </c>
      <c r="Z574" s="463">
        <f t="shared" si="124"/>
        <v>0</v>
      </c>
      <c r="AA574" s="463">
        <f t="shared" si="124"/>
        <v>0</v>
      </c>
      <c r="AB574" s="463">
        <f t="shared" si="124"/>
        <v>0</v>
      </c>
      <c r="AC574" s="463">
        <f t="shared" si="124"/>
        <v>0</v>
      </c>
      <c r="AD574" s="463">
        <f t="shared" si="124"/>
        <v>0</v>
      </c>
      <c r="AE574" s="463">
        <f t="shared" si="124"/>
        <v>0</v>
      </c>
      <c r="AF574" s="463">
        <f t="shared" si="124"/>
        <v>0</v>
      </c>
      <c r="AG574" s="463">
        <f t="shared" si="124"/>
        <v>0</v>
      </c>
      <c r="AH574" s="463">
        <f t="shared" si="124"/>
        <v>0</v>
      </c>
      <c r="AI574" s="463">
        <f t="shared" si="124"/>
        <v>0</v>
      </c>
      <c r="AJ574" s="463">
        <f t="shared" si="124"/>
        <v>0</v>
      </c>
      <c r="AK574" s="463">
        <f t="shared" si="124"/>
        <v>0</v>
      </c>
      <c r="AL574" s="463">
        <f t="shared" si="124"/>
        <v>0</v>
      </c>
      <c r="AM574" s="463">
        <f t="shared" si="124"/>
        <v>0</v>
      </c>
      <c r="AN574" s="479"/>
      <c r="AO574" s="479"/>
      <c r="AP574" s="479"/>
      <c r="AQ574" s="479"/>
      <c r="AR574" s="479"/>
      <c r="AS574" s="479"/>
      <c r="AT574" s="479"/>
      <c r="AU574" s="479"/>
      <c r="AV574" s="479"/>
      <c r="AW574" s="479"/>
      <c r="AX574" s="179"/>
      <c r="AY574" s="179"/>
      <c r="AZ574" s="179"/>
    </row>
    <row r="575" spans="1:52" s="104" customFormat="1" outlineLevel="1">
      <c r="A575" s="477" t="str">
        <f t="shared" si="105"/>
        <v>1</v>
      </c>
      <c r="B575" s="104" t="s">
        <v>1183</v>
      </c>
      <c r="D575" s="104" t="s">
        <v>1504</v>
      </c>
      <c r="L575" s="389" t="s">
        <v>1505</v>
      </c>
      <c r="M575" s="367" t="s">
        <v>1171</v>
      </c>
      <c r="N575" s="390" t="s">
        <v>311</v>
      </c>
      <c r="O575" s="537">
        <f>O572-O573</f>
        <v>0</v>
      </c>
      <c r="P575" s="537">
        <f>P572-P573</f>
        <v>0</v>
      </c>
      <c r="Q575" s="537">
        <f>Q572-Q573</f>
        <v>0</v>
      </c>
      <c r="R575" s="405">
        <f>Q575-P575</f>
        <v>0</v>
      </c>
      <c r="S575" s="537">
        <f t="shared" ref="S575:AM575" si="125">S572-S573</f>
        <v>0</v>
      </c>
      <c r="T575" s="537">
        <f t="shared" si="125"/>
        <v>0</v>
      </c>
      <c r="U575" s="537">
        <f t="shared" si="125"/>
        <v>0</v>
      </c>
      <c r="V575" s="537">
        <f t="shared" si="125"/>
        <v>0</v>
      </c>
      <c r="W575" s="537">
        <f t="shared" si="125"/>
        <v>0</v>
      </c>
      <c r="X575" s="537">
        <f t="shared" si="125"/>
        <v>0</v>
      </c>
      <c r="Y575" s="537">
        <f t="shared" si="125"/>
        <v>0</v>
      </c>
      <c r="Z575" s="537">
        <f t="shared" si="125"/>
        <v>0</v>
      </c>
      <c r="AA575" s="537">
        <f t="shared" si="125"/>
        <v>0</v>
      </c>
      <c r="AB575" s="537">
        <f t="shared" si="125"/>
        <v>0</v>
      </c>
      <c r="AC575" s="537">
        <f t="shared" si="125"/>
        <v>0</v>
      </c>
      <c r="AD575" s="537">
        <f t="shared" si="125"/>
        <v>0</v>
      </c>
      <c r="AE575" s="537">
        <f t="shared" si="125"/>
        <v>0</v>
      </c>
      <c r="AF575" s="537">
        <f t="shared" si="125"/>
        <v>0</v>
      </c>
      <c r="AG575" s="537">
        <f t="shared" si="125"/>
        <v>0</v>
      </c>
      <c r="AH575" s="537">
        <f t="shared" si="125"/>
        <v>0</v>
      </c>
      <c r="AI575" s="537">
        <f t="shared" si="125"/>
        <v>0</v>
      </c>
      <c r="AJ575" s="537">
        <f t="shared" si="125"/>
        <v>0</v>
      </c>
      <c r="AK575" s="537">
        <f t="shared" si="125"/>
        <v>0</v>
      </c>
      <c r="AL575" s="537">
        <f t="shared" si="125"/>
        <v>0</v>
      </c>
      <c r="AM575" s="537">
        <f t="shared" si="125"/>
        <v>0</v>
      </c>
      <c r="AN575" s="479"/>
      <c r="AO575" s="479"/>
      <c r="AP575" s="479"/>
      <c r="AQ575" s="479"/>
      <c r="AR575" s="479"/>
      <c r="AS575" s="479"/>
      <c r="AT575" s="479"/>
      <c r="AU575" s="479"/>
      <c r="AV575" s="479"/>
      <c r="AW575" s="479"/>
      <c r="AX575" s="179"/>
      <c r="AY575" s="179"/>
      <c r="AZ575" s="179"/>
    </row>
    <row r="576" spans="1:52" s="104" customFormat="1" outlineLevel="1">
      <c r="A576" s="477" t="str">
        <f t="shared" si="105"/>
        <v>1</v>
      </c>
      <c r="B576" s="104" t="s">
        <v>1177</v>
      </c>
      <c r="D576" s="104" t="s">
        <v>1506</v>
      </c>
      <c r="L576" s="389" t="s">
        <v>1507</v>
      </c>
      <c r="M576" s="367" t="s">
        <v>1172</v>
      </c>
      <c r="N576" s="390" t="s">
        <v>655</v>
      </c>
      <c r="O576" s="463">
        <f>IF(O572=0,0,O568*IF(plat_nds="да",1.2,1) )</f>
        <v>0</v>
      </c>
      <c r="P576" s="463">
        <f>IF(P572=0,0,P568*IF(plat_nds="да",1.2,1) )</f>
        <v>0</v>
      </c>
      <c r="Q576" s="463">
        <f>IF(Q572=0,0,Q568*IF(plat_nds="да",1.2,1) )</f>
        <v>0</v>
      </c>
      <c r="R576" s="366">
        <f>Q576-P576</f>
        <v>0</v>
      </c>
      <c r="S576" s="463">
        <f t="shared" ref="S576:AM576" si="126">IF(S572=0,0,S568*IF(plat_nds="да",1.2,1) )</f>
        <v>0</v>
      </c>
      <c r="T576" s="463">
        <f t="shared" si="126"/>
        <v>0</v>
      </c>
      <c r="U576" s="463">
        <f t="shared" si="126"/>
        <v>0</v>
      </c>
      <c r="V576" s="463">
        <f t="shared" si="126"/>
        <v>0</v>
      </c>
      <c r="W576" s="463">
        <f t="shared" si="126"/>
        <v>0</v>
      </c>
      <c r="X576" s="463">
        <f t="shared" si="126"/>
        <v>0</v>
      </c>
      <c r="Y576" s="463">
        <f t="shared" si="126"/>
        <v>0</v>
      </c>
      <c r="Z576" s="463">
        <f t="shared" si="126"/>
        <v>0</v>
      </c>
      <c r="AA576" s="463">
        <f t="shared" si="126"/>
        <v>0</v>
      </c>
      <c r="AB576" s="463">
        <f t="shared" si="126"/>
        <v>0</v>
      </c>
      <c r="AC576" s="463">
        <f t="shared" si="126"/>
        <v>0</v>
      </c>
      <c r="AD576" s="463">
        <f t="shared" si="126"/>
        <v>0</v>
      </c>
      <c r="AE576" s="463">
        <f t="shared" si="126"/>
        <v>0</v>
      </c>
      <c r="AF576" s="463">
        <f t="shared" si="126"/>
        <v>0</v>
      </c>
      <c r="AG576" s="463">
        <f t="shared" si="126"/>
        <v>0</v>
      </c>
      <c r="AH576" s="463">
        <f t="shared" si="126"/>
        <v>0</v>
      </c>
      <c r="AI576" s="463">
        <f t="shared" si="126"/>
        <v>0</v>
      </c>
      <c r="AJ576" s="463">
        <f t="shared" si="126"/>
        <v>0</v>
      </c>
      <c r="AK576" s="463">
        <f t="shared" si="126"/>
        <v>0</v>
      </c>
      <c r="AL576" s="463">
        <f t="shared" si="126"/>
        <v>0</v>
      </c>
      <c r="AM576" s="463">
        <f t="shared" si="126"/>
        <v>0</v>
      </c>
      <c r="AN576" s="479"/>
      <c r="AO576" s="479"/>
      <c r="AP576" s="479"/>
      <c r="AQ576" s="479"/>
      <c r="AR576" s="479"/>
      <c r="AS576" s="479"/>
      <c r="AT576" s="479"/>
      <c r="AU576" s="479"/>
      <c r="AV576" s="479"/>
      <c r="AW576" s="479"/>
      <c r="AX576" s="179"/>
      <c r="AY576" s="179"/>
      <c r="AZ576" s="179"/>
    </row>
    <row r="577" spans="1:163" s="484" customFormat="1">
      <c r="A577" s="483" t="s">
        <v>1327</v>
      </c>
      <c r="M577" s="485"/>
      <c r="N577" s="485"/>
      <c r="O577" s="485"/>
      <c r="P577" s="485"/>
      <c r="AA577" s="486"/>
    </row>
    <row r="578" spans="1:163" s="104" customFormat="1" ht="13.8" outlineLevel="1">
      <c r="A578" s="509" t="str">
        <f ca="1">OFFSET(A578,-1,0)</f>
        <v>et_List15_1</v>
      </c>
      <c r="D578" s="539" t="s">
        <v>1567</v>
      </c>
      <c r="E578" s="104">
        <f>M578</f>
        <v>0</v>
      </c>
      <c r="K578" s="135" t="s">
        <v>265</v>
      </c>
      <c r="L578" s="362" t="s">
        <v>1328</v>
      </c>
      <c r="M578" s="487"/>
      <c r="N578" s="364" t="s">
        <v>352</v>
      </c>
      <c r="O578" s="388"/>
      <c r="P578" s="365"/>
      <c r="Q578" s="365"/>
      <c r="R578" s="366">
        <f>Q578-P578</f>
        <v>0</v>
      </c>
      <c r="S578" s="388"/>
      <c r="T578" s="479"/>
      <c r="U578" s="479"/>
      <c r="V578" s="479"/>
      <c r="W578" s="479"/>
      <c r="X578" s="479"/>
      <c r="Y578" s="479"/>
      <c r="Z578" s="479"/>
      <c r="AA578" s="479"/>
      <c r="AB578" s="479"/>
      <c r="AC578" s="479"/>
      <c r="AD578" s="479"/>
      <c r="AE578" s="479"/>
      <c r="AF578" s="479"/>
      <c r="AG578" s="479"/>
      <c r="AH578" s="479"/>
      <c r="AI578" s="479"/>
      <c r="AJ578" s="479"/>
      <c r="AK578" s="479"/>
      <c r="AL578" s="479"/>
      <c r="AM578" s="479"/>
      <c r="AN578" s="479"/>
      <c r="AO578" s="479"/>
      <c r="AP578" s="479"/>
      <c r="AQ578" s="479"/>
      <c r="AR578" s="479"/>
      <c r="AS578" s="479"/>
      <c r="AT578" s="479"/>
      <c r="AU578" s="479"/>
      <c r="AV578" s="479"/>
      <c r="AW578" s="479"/>
      <c r="AX578" s="179"/>
      <c r="AY578" s="179"/>
      <c r="AZ578" s="179"/>
    </row>
    <row r="579" spans="1:163">
      <c r="A579" s="477"/>
    </row>
    <row r="580" spans="1:163" s="131" customFormat="1" ht="30" customHeight="1">
      <c r="A580" s="130" t="s">
        <v>1075</v>
      </c>
      <c r="M580" s="132"/>
      <c r="N580" s="132"/>
      <c r="O580" s="132"/>
      <c r="P580" s="132"/>
      <c r="AA580" s="133"/>
    </row>
    <row r="581" spans="1:163">
      <c r="A581" s="134" t="s">
        <v>1076</v>
      </c>
    </row>
    <row r="582" spans="1:163" s="509" customFormat="1" ht="15" customHeight="1">
      <c r="A582" s="86" t="s">
        <v>18</v>
      </c>
      <c r="F582" s="509" t="str">
        <f>INDEX('Общие сведения'!$N$114:$N$140,MATCH($A582,'Общие сведения'!$D$114:$D$140,0))</f>
        <v>одноставочный</v>
      </c>
      <c r="G582" s="292"/>
      <c r="L582" s="1165" t="s">
        <v>16</v>
      </c>
      <c r="M582" s="1166"/>
      <c r="N582" s="541" t="str">
        <f>"Тариф " &amp; A582</f>
        <v>Тариф 1</v>
      </c>
      <c r="O582" s="542"/>
      <c r="P582" s="542"/>
      <c r="Q582" s="542"/>
      <c r="R582" s="542"/>
      <c r="S582" s="542"/>
      <c r="T582" s="542"/>
      <c r="U582" s="542"/>
      <c r="V582" s="542"/>
      <c r="W582" s="542"/>
      <c r="X582" s="542"/>
      <c r="Y582" s="542"/>
      <c r="Z582" s="542"/>
      <c r="AA582" s="542"/>
      <c r="AB582" s="542"/>
      <c r="AC582" s="542"/>
      <c r="AD582" s="542"/>
      <c r="AE582" s="542"/>
      <c r="AF582" s="542"/>
      <c r="AG582" s="542"/>
      <c r="AH582" s="542"/>
      <c r="AI582" s="542"/>
      <c r="AJ582" s="542"/>
      <c r="AK582" s="542"/>
      <c r="AL582" s="542"/>
      <c r="AM582" s="542"/>
      <c r="AN582" s="542"/>
      <c r="AO582" s="542"/>
      <c r="AP582" s="542"/>
      <c r="AQ582" s="542"/>
      <c r="AR582" s="542"/>
      <c r="AS582" s="542"/>
      <c r="AT582" s="542"/>
      <c r="AU582" s="542"/>
      <c r="AV582" s="542"/>
      <c r="AW582" s="542"/>
      <c r="AX582" s="542"/>
      <c r="AY582" s="542"/>
      <c r="AZ582" s="542"/>
      <c r="BA582" s="542"/>
      <c r="BB582" s="542"/>
      <c r="BC582" s="542"/>
      <c r="BD582" s="542"/>
      <c r="BE582" s="542"/>
      <c r="BF582" s="542"/>
      <c r="BG582" s="542"/>
      <c r="BH582" s="542"/>
      <c r="BI582" s="542"/>
      <c r="BJ582" s="542"/>
      <c r="BK582" s="542"/>
      <c r="BL582" s="542"/>
      <c r="BM582" s="542"/>
      <c r="BN582" s="542"/>
      <c r="BO582" s="542"/>
      <c r="BP582" s="542"/>
      <c r="BQ582" s="542"/>
      <c r="BR582" s="542"/>
      <c r="BS582" s="542"/>
      <c r="BT582" s="542"/>
      <c r="BU582" s="542"/>
      <c r="BV582" s="542"/>
      <c r="BW582" s="542"/>
      <c r="BX582" s="542"/>
      <c r="BY582" s="542"/>
      <c r="BZ582" s="542"/>
      <c r="CA582" s="542"/>
      <c r="CB582" s="542"/>
      <c r="CC582" s="542"/>
      <c r="CD582" s="542"/>
      <c r="CE582" s="542"/>
      <c r="CF582" s="542"/>
      <c r="CG582" s="542"/>
      <c r="CH582" s="542"/>
      <c r="CI582" s="542"/>
      <c r="CJ582" s="542"/>
      <c r="CK582" s="542"/>
      <c r="CL582" s="542"/>
      <c r="CM582" s="542"/>
      <c r="CN582" s="542"/>
      <c r="CO582" s="542"/>
      <c r="CP582" s="542"/>
      <c r="CQ582" s="542"/>
      <c r="CR582" s="542"/>
      <c r="CS582" s="542"/>
      <c r="CT582" s="542"/>
      <c r="CU582" s="542"/>
      <c r="CV582" s="542"/>
      <c r="CW582" s="542"/>
      <c r="CX582" s="542"/>
      <c r="CY582" s="542"/>
      <c r="CZ582" s="542"/>
      <c r="DA582" s="542"/>
      <c r="DB582" s="542"/>
      <c r="DC582" s="542"/>
      <c r="DD582" s="542"/>
      <c r="DE582" s="542"/>
      <c r="DF582" s="542"/>
      <c r="DG582" s="542"/>
      <c r="DH582" s="542"/>
      <c r="DI582" s="542"/>
      <c r="DJ582" s="542"/>
      <c r="DK582" s="542"/>
      <c r="DL582" s="542"/>
      <c r="DM582" s="542"/>
      <c r="DN582" s="542"/>
      <c r="DO582" s="542"/>
      <c r="DP582" s="542"/>
      <c r="DQ582" s="542"/>
      <c r="DR582" s="542"/>
      <c r="DS582" s="542"/>
      <c r="DT582" s="542"/>
      <c r="DU582" s="542"/>
      <c r="DV582" s="542"/>
      <c r="DW582" s="542"/>
      <c r="DX582" s="542"/>
      <c r="DY582" s="542"/>
      <c r="DZ582" s="542"/>
      <c r="EA582" s="542"/>
      <c r="EB582" s="542"/>
      <c r="EC582" s="542"/>
      <c r="ED582" s="542"/>
      <c r="EE582" s="542"/>
      <c r="EF582" s="542"/>
      <c r="EG582" s="542"/>
      <c r="EH582" s="542"/>
      <c r="EI582" s="542"/>
      <c r="EJ582" s="542"/>
      <c r="EK582" s="542"/>
      <c r="EL582" s="542"/>
      <c r="EM582" s="542"/>
      <c r="EN582" s="542"/>
      <c r="EO582" s="542"/>
      <c r="EP582" s="542"/>
      <c r="EQ582" s="542"/>
      <c r="ER582" s="542"/>
      <c r="ES582" s="542"/>
      <c r="ET582" s="542"/>
      <c r="EU582" s="542"/>
      <c r="EV582" s="542"/>
      <c r="EW582" s="542"/>
      <c r="EX582" s="542"/>
      <c r="EY582" s="542"/>
      <c r="EZ582" s="542"/>
      <c r="FA582" s="542"/>
      <c r="FB582" s="542"/>
      <c r="FC582" s="542"/>
      <c r="FD582" s="542"/>
      <c r="FE582" s="542"/>
      <c r="FF582" s="542"/>
      <c r="FG582" s="543"/>
    </row>
    <row r="583" spans="1:163" s="509" customFormat="1" ht="15" customHeight="1" outlineLevel="1">
      <c r="A583" s="509" t="str">
        <f>A582</f>
        <v>1</v>
      </c>
      <c r="L583" s="1161" t="s">
        <v>660</v>
      </c>
      <c r="M583" s="1162"/>
      <c r="N583" s="541" t="str">
        <f>INDEX('Общие сведения'!$K$114:$K$140,MATCH($A583,'Общие сведения'!$D$114:$D$140,0))</f>
        <v>поверхностные сточные воды</v>
      </c>
      <c r="O583" s="341"/>
      <c r="P583" s="341"/>
      <c r="Q583" s="341"/>
      <c r="R583" s="341"/>
      <c r="S583" s="341"/>
      <c r="T583" s="341"/>
      <c r="U583" s="341"/>
      <c r="V583" s="341"/>
      <c r="W583" s="341"/>
      <c r="X583" s="341"/>
      <c r="Y583" s="341"/>
      <c r="Z583" s="341"/>
      <c r="AA583" s="341"/>
      <c r="AB583" s="341"/>
      <c r="AC583" s="341"/>
      <c r="AD583" s="341"/>
      <c r="AE583" s="341"/>
      <c r="AF583" s="341"/>
      <c r="AG583" s="341"/>
      <c r="AH583" s="341"/>
      <c r="AI583" s="341"/>
      <c r="AJ583" s="341"/>
      <c r="AK583" s="341"/>
      <c r="AL583" s="341"/>
      <c r="AM583" s="341"/>
      <c r="AN583" s="341"/>
      <c r="AO583" s="341"/>
      <c r="AP583" s="341"/>
      <c r="AQ583" s="341"/>
      <c r="AR583" s="341"/>
      <c r="AS583" s="341"/>
      <c r="AT583" s="341"/>
      <c r="AU583" s="341"/>
      <c r="AV583" s="341"/>
      <c r="AW583" s="341"/>
      <c r="AX583" s="341"/>
      <c r="AY583" s="341"/>
      <c r="AZ583" s="341"/>
      <c r="BA583" s="341"/>
      <c r="BB583" s="341"/>
      <c r="BC583" s="341"/>
      <c r="BD583" s="341"/>
      <c r="BE583" s="341"/>
      <c r="BF583" s="341"/>
      <c r="BG583" s="341"/>
      <c r="BH583" s="341"/>
      <c r="BI583" s="341"/>
      <c r="BJ583" s="341"/>
      <c r="BK583" s="341"/>
      <c r="BL583" s="341"/>
      <c r="BM583" s="341"/>
      <c r="BN583" s="341"/>
      <c r="BO583" s="341"/>
      <c r="BP583" s="341"/>
      <c r="BQ583" s="341"/>
      <c r="BR583" s="341"/>
      <c r="BS583" s="341"/>
      <c r="BT583" s="341"/>
      <c r="BU583" s="341"/>
      <c r="BV583" s="341"/>
      <c r="BW583" s="341"/>
      <c r="BX583" s="341"/>
      <c r="BY583" s="341"/>
      <c r="BZ583" s="341"/>
      <c r="CA583" s="341"/>
      <c r="CB583" s="341"/>
      <c r="CC583" s="341"/>
      <c r="CD583" s="341"/>
      <c r="CE583" s="341"/>
      <c r="CF583" s="341"/>
      <c r="CG583" s="341"/>
      <c r="CH583" s="341"/>
      <c r="CI583" s="341"/>
      <c r="CJ583" s="341"/>
      <c r="CK583" s="341"/>
      <c r="CL583" s="341"/>
      <c r="CM583" s="341"/>
      <c r="CN583" s="341"/>
      <c r="CO583" s="341"/>
      <c r="CP583" s="341"/>
      <c r="CQ583" s="341"/>
      <c r="CR583" s="341"/>
      <c r="CS583" s="341"/>
      <c r="CT583" s="341"/>
      <c r="CU583" s="341"/>
      <c r="CV583" s="341"/>
      <c r="CW583" s="341"/>
      <c r="CX583" s="341"/>
      <c r="CY583" s="341"/>
      <c r="CZ583" s="341"/>
      <c r="DA583" s="341"/>
      <c r="DB583" s="341"/>
      <c r="DC583" s="341"/>
      <c r="DD583" s="341"/>
      <c r="DE583" s="341"/>
      <c r="DF583" s="341"/>
      <c r="DG583" s="341"/>
      <c r="DH583" s="341"/>
      <c r="DI583" s="341"/>
      <c r="DJ583" s="341"/>
      <c r="DK583" s="341"/>
      <c r="DL583" s="341"/>
      <c r="DM583" s="341"/>
      <c r="DN583" s="341"/>
      <c r="DO583" s="341"/>
      <c r="DP583" s="341"/>
      <c r="DQ583" s="341"/>
      <c r="DR583" s="341"/>
      <c r="DS583" s="341"/>
      <c r="DT583" s="341"/>
      <c r="DU583" s="341"/>
      <c r="DV583" s="341"/>
      <c r="DW583" s="341"/>
      <c r="DX583" s="341"/>
      <c r="DY583" s="341"/>
      <c r="DZ583" s="341"/>
      <c r="EA583" s="341"/>
      <c r="EB583" s="341"/>
      <c r="EC583" s="341"/>
      <c r="ED583" s="341"/>
      <c r="EE583" s="341"/>
      <c r="EF583" s="341"/>
      <c r="EG583" s="341"/>
      <c r="EH583" s="341"/>
      <c r="EI583" s="341"/>
      <c r="EJ583" s="341"/>
      <c r="EK583" s="341"/>
      <c r="EL583" s="341"/>
      <c r="EM583" s="341"/>
      <c r="EN583" s="341"/>
      <c r="EO583" s="341"/>
      <c r="EP583" s="341"/>
      <c r="EQ583" s="341"/>
      <c r="ER583" s="341"/>
      <c r="ES583" s="341"/>
      <c r="ET583" s="341"/>
      <c r="EU583" s="341"/>
      <c r="EV583" s="341"/>
      <c r="EW583" s="341"/>
      <c r="EX583" s="341"/>
      <c r="EY583" s="341"/>
      <c r="EZ583" s="341"/>
      <c r="FA583" s="341"/>
      <c r="FB583" s="341"/>
      <c r="FC583" s="341"/>
      <c r="FD583" s="341"/>
      <c r="FE583" s="341"/>
      <c r="FF583" s="341"/>
      <c r="FG583" s="342"/>
    </row>
    <row r="584" spans="1:163" s="509" customFormat="1" ht="15" customHeight="1" outlineLevel="1">
      <c r="A584" s="509" t="str">
        <f t="shared" ref="A584:A621" si="127">A583</f>
        <v>1</v>
      </c>
      <c r="L584" s="1161" t="s">
        <v>661</v>
      </c>
      <c r="M584" s="1162"/>
      <c r="N584" s="541" t="str">
        <f>INDEX('Общие сведения'!$L$114:$L$140,MATCH($A584,'Общие сведения'!$D$114:$D$140,0))</f>
        <v>тариф на транспортировку сточных вод</v>
      </c>
      <c r="O584" s="341"/>
      <c r="P584" s="341"/>
      <c r="Q584" s="341"/>
      <c r="R584" s="341"/>
      <c r="S584" s="341"/>
      <c r="T584" s="341"/>
      <c r="U584" s="341"/>
      <c r="V584" s="341"/>
      <c r="W584" s="341"/>
      <c r="X584" s="341"/>
      <c r="Y584" s="341"/>
      <c r="Z584" s="341"/>
      <c r="AA584" s="341"/>
      <c r="AB584" s="341"/>
      <c r="AC584" s="341"/>
      <c r="AD584" s="341"/>
      <c r="AE584" s="341"/>
      <c r="AF584" s="341"/>
      <c r="AG584" s="341"/>
      <c r="AH584" s="341"/>
      <c r="AI584" s="341"/>
      <c r="AJ584" s="341"/>
      <c r="AK584" s="341"/>
      <c r="AL584" s="341"/>
      <c r="AM584" s="341"/>
      <c r="AN584" s="341"/>
      <c r="AO584" s="341"/>
      <c r="AP584" s="341"/>
      <c r="AQ584" s="341"/>
      <c r="AR584" s="341"/>
      <c r="AS584" s="341"/>
      <c r="AT584" s="341"/>
      <c r="AU584" s="341"/>
      <c r="AV584" s="341"/>
      <c r="AW584" s="341"/>
      <c r="AX584" s="341"/>
      <c r="AY584" s="341"/>
      <c r="AZ584" s="341"/>
      <c r="BA584" s="341"/>
      <c r="BB584" s="341"/>
      <c r="BC584" s="341"/>
      <c r="BD584" s="341"/>
      <c r="BE584" s="341"/>
      <c r="BF584" s="341"/>
      <c r="BG584" s="341"/>
      <c r="BH584" s="341"/>
      <c r="BI584" s="341"/>
      <c r="BJ584" s="341"/>
      <c r="BK584" s="341"/>
      <c r="BL584" s="341"/>
      <c r="BM584" s="341"/>
      <c r="BN584" s="341"/>
      <c r="BO584" s="341"/>
      <c r="BP584" s="341"/>
      <c r="BQ584" s="341"/>
      <c r="BR584" s="341"/>
      <c r="BS584" s="341"/>
      <c r="BT584" s="341"/>
      <c r="BU584" s="341"/>
      <c r="BV584" s="341"/>
      <c r="BW584" s="341"/>
      <c r="BX584" s="341"/>
      <c r="BY584" s="341"/>
      <c r="BZ584" s="341"/>
      <c r="CA584" s="341"/>
      <c r="CB584" s="341"/>
      <c r="CC584" s="341"/>
      <c r="CD584" s="341"/>
      <c r="CE584" s="341"/>
      <c r="CF584" s="341"/>
      <c r="CG584" s="341"/>
      <c r="CH584" s="341"/>
      <c r="CI584" s="341"/>
      <c r="CJ584" s="341"/>
      <c r="CK584" s="341"/>
      <c r="CL584" s="341"/>
      <c r="CM584" s="341"/>
      <c r="CN584" s="341"/>
      <c r="CO584" s="341"/>
      <c r="CP584" s="341"/>
      <c r="CQ584" s="341"/>
      <c r="CR584" s="341"/>
      <c r="CS584" s="341"/>
      <c r="CT584" s="341"/>
      <c r="CU584" s="341"/>
      <c r="CV584" s="341"/>
      <c r="CW584" s="341"/>
      <c r="CX584" s="341"/>
      <c r="CY584" s="341"/>
      <c r="CZ584" s="341"/>
      <c r="DA584" s="341"/>
      <c r="DB584" s="341"/>
      <c r="DC584" s="341"/>
      <c r="DD584" s="341"/>
      <c r="DE584" s="341"/>
      <c r="DF584" s="341"/>
      <c r="DG584" s="341"/>
      <c r="DH584" s="341"/>
      <c r="DI584" s="341"/>
      <c r="DJ584" s="341"/>
      <c r="DK584" s="341"/>
      <c r="DL584" s="341"/>
      <c r="DM584" s="341"/>
      <c r="DN584" s="341"/>
      <c r="DO584" s="341"/>
      <c r="DP584" s="341"/>
      <c r="DQ584" s="341"/>
      <c r="DR584" s="341"/>
      <c r="DS584" s="341"/>
      <c r="DT584" s="341"/>
      <c r="DU584" s="341"/>
      <c r="DV584" s="341"/>
      <c r="DW584" s="341"/>
      <c r="DX584" s="341"/>
      <c r="DY584" s="341"/>
      <c r="DZ584" s="341"/>
      <c r="EA584" s="341"/>
      <c r="EB584" s="341"/>
      <c r="EC584" s="341"/>
      <c r="ED584" s="341"/>
      <c r="EE584" s="341"/>
      <c r="EF584" s="341"/>
      <c r="EG584" s="341"/>
      <c r="EH584" s="341"/>
      <c r="EI584" s="341"/>
      <c r="EJ584" s="341"/>
      <c r="EK584" s="341"/>
      <c r="EL584" s="341"/>
      <c r="EM584" s="341"/>
      <c r="EN584" s="341"/>
      <c r="EO584" s="341"/>
      <c r="EP584" s="341"/>
      <c r="EQ584" s="341"/>
      <c r="ER584" s="341"/>
      <c r="ES584" s="341"/>
      <c r="ET584" s="341"/>
      <c r="EU584" s="341"/>
      <c r="EV584" s="341"/>
      <c r="EW584" s="341"/>
      <c r="EX584" s="341"/>
      <c r="EY584" s="341"/>
      <c r="EZ584" s="341"/>
      <c r="FA584" s="341"/>
      <c r="FB584" s="341"/>
      <c r="FC584" s="341"/>
      <c r="FD584" s="341"/>
      <c r="FE584" s="341"/>
      <c r="FF584" s="341"/>
      <c r="FG584" s="342"/>
    </row>
    <row r="585" spans="1:163" s="509" customFormat="1" ht="15" customHeight="1" outlineLevel="1">
      <c r="A585" s="509" t="str">
        <f t="shared" si="127"/>
        <v>1</v>
      </c>
      <c r="L585" s="1161" t="s">
        <v>264</v>
      </c>
      <c r="M585" s="1162"/>
      <c r="N585" s="541">
        <f>INDEX('Общие сведения'!$M$114:$M$140,MATCH($A585,'Общие сведения'!$D$114:$D$140,0))</f>
        <v>0</v>
      </c>
      <c r="O585" s="341"/>
      <c r="P585" s="341"/>
      <c r="Q585" s="341"/>
      <c r="R585" s="341"/>
      <c r="S585" s="341"/>
      <c r="T585" s="341"/>
      <c r="U585" s="341"/>
      <c r="V585" s="341"/>
      <c r="W585" s="341"/>
      <c r="X585" s="341"/>
      <c r="Y585" s="341"/>
      <c r="Z585" s="341"/>
      <c r="AA585" s="341"/>
      <c r="AB585" s="341"/>
      <c r="AC585" s="341"/>
      <c r="AD585" s="341"/>
      <c r="AE585" s="341"/>
      <c r="AF585" s="341"/>
      <c r="AG585" s="341"/>
      <c r="AH585" s="341"/>
      <c r="AI585" s="341"/>
      <c r="AJ585" s="341"/>
      <c r="AK585" s="341"/>
      <c r="AL585" s="341"/>
      <c r="AM585" s="341"/>
      <c r="AN585" s="341"/>
      <c r="AO585" s="341"/>
      <c r="AP585" s="341"/>
      <c r="AQ585" s="341"/>
      <c r="AR585" s="341"/>
      <c r="AS585" s="341"/>
      <c r="AT585" s="341"/>
      <c r="AU585" s="341"/>
      <c r="AV585" s="341"/>
      <c r="AW585" s="341"/>
      <c r="AX585" s="341"/>
      <c r="AY585" s="341"/>
      <c r="AZ585" s="341"/>
      <c r="BA585" s="341"/>
      <c r="BB585" s="341"/>
      <c r="BC585" s="341"/>
      <c r="BD585" s="341"/>
      <c r="BE585" s="341"/>
      <c r="BF585" s="341"/>
      <c r="BG585" s="341"/>
      <c r="BH585" s="341"/>
      <c r="BI585" s="341"/>
      <c r="BJ585" s="341"/>
      <c r="BK585" s="341"/>
      <c r="BL585" s="341"/>
      <c r="BM585" s="341"/>
      <c r="BN585" s="341"/>
      <c r="BO585" s="341"/>
      <c r="BP585" s="341"/>
      <c r="BQ585" s="341"/>
      <c r="BR585" s="341"/>
      <c r="BS585" s="341"/>
      <c r="BT585" s="341"/>
      <c r="BU585" s="341"/>
      <c r="BV585" s="341"/>
      <c r="BW585" s="341"/>
      <c r="BX585" s="341"/>
      <c r="BY585" s="341"/>
      <c r="BZ585" s="341"/>
      <c r="CA585" s="341"/>
      <c r="CB585" s="341"/>
      <c r="CC585" s="341"/>
      <c r="CD585" s="341"/>
      <c r="CE585" s="341"/>
      <c r="CF585" s="341"/>
      <c r="CG585" s="341"/>
      <c r="CH585" s="341"/>
      <c r="CI585" s="341"/>
      <c r="CJ585" s="341"/>
      <c r="CK585" s="341"/>
      <c r="CL585" s="341"/>
      <c r="CM585" s="341"/>
      <c r="CN585" s="341"/>
      <c r="CO585" s="341"/>
      <c r="CP585" s="341"/>
      <c r="CQ585" s="341"/>
      <c r="CR585" s="341"/>
      <c r="CS585" s="341"/>
      <c r="CT585" s="341"/>
      <c r="CU585" s="341"/>
      <c r="CV585" s="341"/>
      <c r="CW585" s="341"/>
      <c r="CX585" s="341"/>
      <c r="CY585" s="341"/>
      <c r="CZ585" s="341"/>
      <c r="DA585" s="341"/>
      <c r="DB585" s="341"/>
      <c r="DC585" s="341"/>
      <c r="DD585" s="341"/>
      <c r="DE585" s="341"/>
      <c r="DF585" s="341"/>
      <c r="DG585" s="341"/>
      <c r="DH585" s="341"/>
      <c r="DI585" s="341"/>
      <c r="DJ585" s="341"/>
      <c r="DK585" s="341"/>
      <c r="DL585" s="341"/>
      <c r="DM585" s="341"/>
      <c r="DN585" s="341"/>
      <c r="DO585" s="341"/>
      <c r="DP585" s="341"/>
      <c r="DQ585" s="341"/>
      <c r="DR585" s="341"/>
      <c r="DS585" s="341"/>
      <c r="DT585" s="341"/>
      <c r="DU585" s="341"/>
      <c r="DV585" s="341"/>
      <c r="DW585" s="341"/>
      <c r="DX585" s="341"/>
      <c r="DY585" s="341"/>
      <c r="DZ585" s="341"/>
      <c r="EA585" s="341"/>
      <c r="EB585" s="341"/>
      <c r="EC585" s="341"/>
      <c r="ED585" s="341"/>
      <c r="EE585" s="341"/>
      <c r="EF585" s="341"/>
      <c r="EG585" s="341"/>
      <c r="EH585" s="341"/>
      <c r="EI585" s="341"/>
      <c r="EJ585" s="341"/>
      <c r="EK585" s="341"/>
      <c r="EL585" s="341"/>
      <c r="EM585" s="341"/>
      <c r="EN585" s="341"/>
      <c r="EO585" s="341"/>
      <c r="EP585" s="341"/>
      <c r="EQ585" s="341"/>
      <c r="ER585" s="341"/>
      <c r="ES585" s="341"/>
      <c r="ET585" s="341"/>
      <c r="EU585" s="341"/>
      <c r="EV585" s="341"/>
      <c r="EW585" s="341"/>
      <c r="EX585" s="341"/>
      <c r="EY585" s="341"/>
      <c r="EZ585" s="341"/>
      <c r="FA585" s="341"/>
      <c r="FB585" s="341"/>
      <c r="FC585" s="341"/>
      <c r="FD585" s="341"/>
      <c r="FE585" s="341"/>
      <c r="FF585" s="341"/>
      <c r="FG585" s="342"/>
    </row>
    <row r="586" spans="1:163" s="509" customFormat="1" ht="15" customHeight="1" outlineLevel="1">
      <c r="A586" s="509" t="str">
        <f t="shared" si="127"/>
        <v>1</v>
      </c>
      <c r="G586" s="509" t="b">
        <f>F582="одноставочный"</f>
        <v>1</v>
      </c>
      <c r="L586" s="343" t="s">
        <v>662</v>
      </c>
      <c r="M586" s="544"/>
      <c r="N586" s="344"/>
      <c r="O586" s="344"/>
      <c r="P586" s="344"/>
      <c r="Q586" s="344"/>
      <c r="R586" s="344"/>
      <c r="S586" s="344"/>
      <c r="T586" s="344"/>
      <c r="U586" s="344"/>
      <c r="V586" s="344"/>
      <c r="W586" s="344"/>
      <c r="X586" s="344"/>
      <c r="Y586" s="344"/>
      <c r="Z586" s="344"/>
      <c r="AA586" s="344"/>
      <c r="AB586" s="344"/>
      <c r="AC586" s="344"/>
      <c r="AD586" s="344"/>
      <c r="AE586" s="344"/>
      <c r="AF586" s="344"/>
      <c r="AG586" s="344"/>
      <c r="AH586" s="344"/>
      <c r="AI586" s="344"/>
      <c r="AJ586" s="344"/>
      <c r="AK586" s="344"/>
      <c r="AL586" s="344"/>
      <c r="AM586" s="344"/>
      <c r="AN586" s="344"/>
      <c r="AO586" s="344"/>
      <c r="AP586" s="344"/>
      <c r="AQ586" s="344"/>
      <c r="AR586" s="344"/>
      <c r="AS586" s="344"/>
      <c r="AT586" s="345"/>
      <c r="AU586" s="344"/>
      <c r="AV586" s="344"/>
      <c r="AW586" s="345"/>
      <c r="AX586" s="344"/>
      <c r="AY586" s="344"/>
      <c r="AZ586" s="345"/>
      <c r="BA586" s="344"/>
      <c r="BB586" s="344"/>
      <c r="BC586" s="345"/>
      <c r="BD586" s="344"/>
      <c r="BE586" s="344"/>
      <c r="BF586" s="345"/>
      <c r="BG586" s="344"/>
      <c r="BH586" s="344"/>
      <c r="BI586" s="345"/>
      <c r="BJ586" s="344"/>
      <c r="BK586" s="344"/>
      <c r="BL586" s="345"/>
      <c r="BM586" s="344"/>
      <c r="BN586" s="344"/>
      <c r="BO586" s="345"/>
      <c r="BP586" s="344"/>
      <c r="BQ586" s="344"/>
      <c r="BR586" s="345"/>
      <c r="BS586" s="344"/>
      <c r="BT586" s="344"/>
      <c r="BU586" s="345"/>
      <c r="BV586" s="344"/>
      <c r="BW586" s="344"/>
      <c r="BX586" s="345"/>
      <c r="BY586" s="344"/>
      <c r="BZ586" s="344"/>
      <c r="CA586" s="345"/>
      <c r="CB586" s="344"/>
      <c r="CC586" s="344"/>
      <c r="CD586" s="345"/>
      <c r="CE586" s="344"/>
      <c r="CF586" s="344"/>
      <c r="CG586" s="345"/>
      <c r="CH586" s="344"/>
      <c r="CI586" s="344"/>
      <c r="CJ586" s="345"/>
      <c r="CK586" s="344"/>
      <c r="CL586" s="344"/>
      <c r="CM586" s="345"/>
      <c r="CN586" s="344"/>
      <c r="CO586" s="344"/>
      <c r="CP586" s="345"/>
      <c r="CQ586" s="344"/>
      <c r="CR586" s="344"/>
      <c r="CS586" s="345"/>
      <c r="CT586" s="344"/>
      <c r="CU586" s="344"/>
      <c r="CV586" s="345"/>
      <c r="CW586" s="344"/>
      <c r="CX586" s="344"/>
      <c r="CY586" s="345"/>
      <c r="CZ586" s="344"/>
      <c r="DA586" s="344"/>
      <c r="DB586" s="345"/>
      <c r="DC586" s="344"/>
      <c r="DD586" s="344"/>
      <c r="DE586" s="345"/>
      <c r="DF586" s="344"/>
      <c r="DG586" s="344"/>
      <c r="DH586" s="345"/>
      <c r="DI586" s="344"/>
      <c r="DJ586" s="344"/>
      <c r="DK586" s="345"/>
      <c r="DL586" s="344"/>
      <c r="DM586" s="344"/>
      <c r="DN586" s="345"/>
      <c r="DO586" s="344"/>
      <c r="DP586" s="344"/>
      <c r="DQ586" s="345"/>
      <c r="DR586" s="344"/>
      <c r="DS586" s="344"/>
      <c r="DT586" s="345"/>
      <c r="DU586" s="344"/>
      <c r="DV586" s="344"/>
      <c r="DW586" s="345"/>
      <c r="DX586" s="344"/>
      <c r="DY586" s="344"/>
      <c r="DZ586" s="345"/>
      <c r="EA586" s="344"/>
      <c r="EB586" s="344"/>
      <c r="EC586" s="345"/>
      <c r="ED586" s="344"/>
      <c r="EE586" s="344"/>
      <c r="EF586" s="345"/>
      <c r="EG586" s="344"/>
      <c r="EH586" s="344"/>
      <c r="EI586" s="345"/>
      <c r="EJ586" s="344"/>
      <c r="EK586" s="344"/>
      <c r="EL586" s="345"/>
      <c r="EM586" s="344"/>
      <c r="EN586" s="344"/>
      <c r="EO586" s="345"/>
      <c r="EP586" s="344"/>
      <c r="EQ586" s="344"/>
      <c r="ER586" s="345"/>
      <c r="ES586" s="344"/>
      <c r="ET586" s="344"/>
      <c r="EU586" s="345"/>
      <c r="EV586" s="344"/>
      <c r="EW586" s="344"/>
      <c r="EX586" s="345"/>
      <c r="EY586" s="344"/>
      <c r="EZ586" s="344"/>
      <c r="FA586" s="345"/>
      <c r="FB586" s="344"/>
      <c r="FC586" s="344"/>
      <c r="FD586" s="345"/>
      <c r="FE586" s="344"/>
      <c r="FF586" s="344"/>
      <c r="FG586" s="345"/>
    </row>
    <row r="587" spans="1:163" s="346" customFormat="1" ht="15" customHeight="1" outlineLevel="1">
      <c r="A587" s="509" t="str">
        <f t="shared" si="127"/>
        <v>1</v>
      </c>
      <c r="B587" s="509" t="s">
        <v>1175</v>
      </c>
      <c r="C587" s="509" t="s">
        <v>1407</v>
      </c>
      <c r="D587" s="509" t="s">
        <v>1603</v>
      </c>
      <c r="G587" s="509" t="b">
        <f>F582="одноставочный"</f>
        <v>1</v>
      </c>
      <c r="L587" s="347" t="s">
        <v>1111</v>
      </c>
      <c r="M587" s="348" t="s">
        <v>655</v>
      </c>
      <c r="N587" s="349" t="e">
        <f>SUMIFS(INDEX(Калькуляция!$T$15:$AM$266,,MATCH(N$3,Калькуляция!$T$3:$AM$3,0)),Калькуляция!$A$15:$A$266,$A587,Калькуляция!$B$15:$B$266,$B587)</f>
        <v>#N/A</v>
      </c>
      <c r="O587" s="349" t="e">
        <f>SUMIFS(INDEX(Калькуляция!$T$15:$AM$266,,MATCH(O$3,Калькуляция!$T$3:$AM$3,0)),Калькуляция!$A$15:$A$266,$A587,Калькуляция!$B$15:$B$266,$B587)</f>
        <v>#N/A</v>
      </c>
      <c r="P587" s="350" t="e">
        <f>IF(N587=0,0,(O587-N587)/N587*100)</f>
        <v>#N/A</v>
      </c>
      <c r="Q587" s="349" t="e">
        <f>SUMIFS(INDEX(Калькуляция!$T$15:$AM$266,,MATCH(Q$3,Калькуляция!$T$3:$AM$3,0)),Калькуляция!$A$15:$A$266,$A587,Калькуляция!$B$15:$B$266,$B587)</f>
        <v>#N/A</v>
      </c>
      <c r="R587" s="349" t="e">
        <f>SUMIFS(INDEX(Калькуляция!$T$15:$AM$266,,MATCH(R$3,Калькуляция!$T$3:$AM$3,0)),Калькуляция!$A$15:$A$266,$A587,Калькуляция!$B$15:$B$266,$B587)</f>
        <v>#N/A</v>
      </c>
      <c r="S587" s="350" t="e">
        <f>IF(Q587=0,0,(R587-Q587)/Q587*100)</f>
        <v>#N/A</v>
      </c>
      <c r="T587" s="349" t="e">
        <f>SUMIFS(INDEX(Калькуляция!$T$15:$AM$266,,MATCH(T$3,Калькуляция!$T$3:$AM$3,0)),Калькуляция!$A$15:$A$266,$A587,Калькуляция!$B$15:$B$266,$B587)</f>
        <v>#N/A</v>
      </c>
      <c r="U587" s="349" t="e">
        <f>SUMIFS(INDEX(Калькуляция!$T$15:$AM$266,,MATCH(U$3,Калькуляция!$T$3:$AM$3,0)),Калькуляция!$A$15:$A$266,$A587,Калькуляция!$B$15:$B$266,$B587)</f>
        <v>#N/A</v>
      </c>
      <c r="V587" s="350" t="e">
        <f>IF(T587=0,0,(U587-T587)/T587*100)</f>
        <v>#N/A</v>
      </c>
      <c r="W587" s="349" t="e">
        <f>SUMIFS(INDEX(Калькуляция!$T$15:$AM$266,,MATCH(W$3,Калькуляция!$T$3:$AM$3,0)),Калькуляция!$A$15:$A$266,$A587,Калькуляция!$B$15:$B$266,$B587)</f>
        <v>#N/A</v>
      </c>
      <c r="X587" s="349" t="e">
        <f>SUMIFS(INDEX(Калькуляция!$T$15:$AM$266,,MATCH(X$3,Калькуляция!$T$3:$AM$3,0)),Калькуляция!$A$15:$A$266,$A587,Калькуляция!$B$15:$B$266,$B587)</f>
        <v>#N/A</v>
      </c>
      <c r="Y587" s="350" t="e">
        <f>IF(W587=0,0,(X587-W587)/W587*100)</f>
        <v>#N/A</v>
      </c>
      <c r="Z587" s="349" t="e">
        <f>SUMIFS(INDEX(Калькуляция!$T$15:$AM$266,,MATCH(Z$3,Калькуляция!$T$3:$AM$3,0)),Калькуляция!$A$15:$A$266,$A587,Калькуляция!$B$15:$B$266,$B587)</f>
        <v>#N/A</v>
      </c>
      <c r="AA587" s="349" t="e">
        <f>SUMIFS(INDEX(Калькуляция!$T$15:$AM$266,,MATCH(AA$3,Калькуляция!$T$3:$AM$3,0)),Калькуляция!$A$15:$A$266,$A587,Калькуляция!$B$15:$B$266,$B587)</f>
        <v>#N/A</v>
      </c>
      <c r="AB587" s="350" t="e">
        <f>IF(Z587=0,0,(AA587-Z587)/Z587*100)</f>
        <v>#N/A</v>
      </c>
      <c r="AC587" s="349" t="e">
        <f>SUMIFS(INDEX(Калькуляция!$T$15:$AM$266,,MATCH(AC$3,Калькуляция!$T$3:$AM$3,0)),Калькуляция!$A$15:$A$266,$A587,Калькуляция!$B$15:$B$266,$B587)</f>
        <v>#N/A</v>
      </c>
      <c r="AD587" s="349" t="e">
        <f>SUMIFS(INDEX(Калькуляция!$T$15:$AM$266,,MATCH(AD$3,Калькуляция!$T$3:$AM$3,0)),Калькуляция!$A$15:$A$266,$A587,Калькуляция!$B$15:$B$266,$B587)</f>
        <v>#N/A</v>
      </c>
      <c r="AE587" s="350" t="e">
        <f>IF(AC587=0,0,(AD587-AC587)/AC587*100)</f>
        <v>#N/A</v>
      </c>
      <c r="AF587" s="349" t="e">
        <f>SUMIFS(INDEX(Калькуляция!$T$15:$AM$266,,MATCH(AF$3,Калькуляция!$T$3:$AM$3,0)),Калькуляция!$A$15:$A$266,$A587,Калькуляция!$B$15:$B$266,$B587)</f>
        <v>#N/A</v>
      </c>
      <c r="AG587" s="349" t="e">
        <f>SUMIFS(INDEX(Калькуляция!$T$15:$AM$266,,MATCH(AG$3,Калькуляция!$T$3:$AM$3,0)),Калькуляция!$A$15:$A$266,$A587,Калькуляция!$B$15:$B$266,$B587)</f>
        <v>#N/A</v>
      </c>
      <c r="AH587" s="350" t="e">
        <f>IF(AF587=0,0,(AG587-AF587)/AF587*100)</f>
        <v>#N/A</v>
      </c>
      <c r="AI587" s="349" t="e">
        <f>SUMIFS(INDEX(Калькуляция!$T$15:$AM$266,,MATCH(AI$3,Калькуляция!$T$3:$AM$3,0)),Калькуляция!$A$15:$A$266,$A587,Калькуляция!$B$15:$B$266,$B587)</f>
        <v>#N/A</v>
      </c>
      <c r="AJ587" s="349" t="e">
        <f>SUMIFS(INDEX(Калькуляция!$T$15:$AM$266,,MATCH(AJ$3,Калькуляция!$T$3:$AM$3,0)),Калькуляция!$A$15:$A$266,$A587,Калькуляция!$B$15:$B$266,$B587)</f>
        <v>#N/A</v>
      </c>
      <c r="AK587" s="350" t="e">
        <f>IF(AI587=0,0,(AJ587-AI587)/AI587*100)</f>
        <v>#N/A</v>
      </c>
      <c r="AL587" s="349" t="e">
        <f>SUMIFS(INDEX(Калькуляция!$T$15:$AM$266,,MATCH(AL$3,Калькуляция!$T$3:$AM$3,0)),Калькуляция!$A$15:$A$266,$A587,Калькуляция!$B$15:$B$266,$B587)</f>
        <v>#N/A</v>
      </c>
      <c r="AM587" s="349" t="e">
        <f>SUMIFS(INDEX(Калькуляция!$T$15:$AM$266,,MATCH(AM$3,Калькуляция!$T$3:$AM$3,0)),Калькуляция!$A$15:$A$266,$A587,Калькуляция!$B$15:$B$266,$B587)</f>
        <v>#N/A</v>
      </c>
      <c r="AN587" s="350" t="e">
        <f>IF(AL587=0,0,(AM587-AL587)/AL587*100)</f>
        <v>#N/A</v>
      </c>
      <c r="AO587" s="349" t="e">
        <f>SUMIFS(INDEX(Калькуляция!$T$15:$AM$266,,MATCH(AO$3,Калькуляция!$T$3:$AM$3,0)),Калькуляция!$A$15:$A$266,$A587,Калькуляция!$B$15:$B$266,$B587)</f>
        <v>#N/A</v>
      </c>
      <c r="AP587" s="349" t="e">
        <f>SUMIFS(INDEX(Калькуляция!$T$15:$AM$266,,MATCH(AP$3,Калькуляция!$T$3:$AM$3,0)),Калькуляция!$A$15:$A$266,$A587,Калькуляция!$B$15:$B$266,$B587)</f>
        <v>#N/A</v>
      </c>
      <c r="AQ587" s="350" t="e">
        <f>IF(AO587=0,0,(AP587-AO587)/AO587*100)</f>
        <v>#N/A</v>
      </c>
      <c r="AR587" s="349"/>
      <c r="AS587" s="349"/>
      <c r="AT587" s="350">
        <f>IF(AR587=0,0,(AS587-AR587)/AR587*100)</f>
        <v>0</v>
      </c>
      <c r="AU587" s="349"/>
      <c r="AV587" s="349"/>
      <c r="AW587" s="350">
        <f>IF(AU587=0,0,(AV587-AU587)/AU587*100)</f>
        <v>0</v>
      </c>
      <c r="AX587" s="349"/>
      <c r="AY587" s="349"/>
      <c r="AZ587" s="350">
        <f>IF(AX587=0,0,(AY587-AX587)/AX587*100)</f>
        <v>0</v>
      </c>
      <c r="BA587" s="349"/>
      <c r="BB587" s="349"/>
      <c r="BC587" s="350">
        <f>IF(BA587=0,0,(BB587-BA587)/BA587*100)</f>
        <v>0</v>
      </c>
      <c r="BD587" s="349"/>
      <c r="BE587" s="349"/>
      <c r="BF587" s="350">
        <f>IF(BD587=0,0,(BE587-BD587)/BD587*100)</f>
        <v>0</v>
      </c>
      <c r="BG587" s="349"/>
      <c r="BH587" s="349"/>
      <c r="BI587" s="350">
        <f>IF(BG587=0,0,(BH587-BG587)/BG587*100)</f>
        <v>0</v>
      </c>
      <c r="BJ587" s="349"/>
      <c r="BK587" s="349"/>
      <c r="BL587" s="350">
        <f>IF(BJ587=0,0,(BK587-BJ587)/BJ587*100)</f>
        <v>0</v>
      </c>
      <c r="BM587" s="349"/>
      <c r="BN587" s="349"/>
      <c r="BO587" s="350">
        <f>IF(BM587=0,0,(BN587-BM587)/BM587*100)</f>
        <v>0</v>
      </c>
      <c r="BP587" s="349"/>
      <c r="BQ587" s="349"/>
      <c r="BR587" s="350">
        <f>IF(BP587=0,0,(BQ587-BP587)/BP587*100)</f>
        <v>0</v>
      </c>
      <c r="BS587" s="349"/>
      <c r="BT587" s="349"/>
      <c r="BU587" s="350">
        <f>IF(BS587=0,0,(BT587-BS587)/BS587*100)</f>
        <v>0</v>
      </c>
      <c r="BV587" s="349"/>
      <c r="BW587" s="349"/>
      <c r="BX587" s="350">
        <f>IF(BV587=0,0,(BW587-BV587)/BV587*100)</f>
        <v>0</v>
      </c>
      <c r="BY587" s="349"/>
      <c r="BZ587" s="349"/>
      <c r="CA587" s="350">
        <f>IF(BY587=0,0,(BZ587-BY587)/BY587*100)</f>
        <v>0</v>
      </c>
      <c r="CB587" s="349"/>
      <c r="CC587" s="349"/>
      <c r="CD587" s="350">
        <f>IF(CB587=0,0,(CC587-CB587)/CB587*100)</f>
        <v>0</v>
      </c>
      <c r="CE587" s="349"/>
      <c r="CF587" s="349"/>
      <c r="CG587" s="350">
        <f>IF(CE587=0,0,(CF587-CE587)/CE587*100)</f>
        <v>0</v>
      </c>
      <c r="CH587" s="349"/>
      <c r="CI587" s="349"/>
      <c r="CJ587" s="350">
        <f>IF(CH587=0,0,(CI587-CH587)/CH587*100)</f>
        <v>0</v>
      </c>
      <c r="CK587" s="349"/>
      <c r="CL587" s="349"/>
      <c r="CM587" s="350">
        <f>IF(CK587=0,0,(CL587-CK587)/CK587*100)</f>
        <v>0</v>
      </c>
      <c r="CN587" s="349"/>
      <c r="CO587" s="349"/>
      <c r="CP587" s="350">
        <f>IF(CN587=0,0,(CO587-CN587)/CN587*100)</f>
        <v>0</v>
      </c>
      <c r="CQ587" s="349"/>
      <c r="CR587" s="349"/>
      <c r="CS587" s="350">
        <f>IF(CQ587=0,0,(CR587-CQ587)/CQ587*100)</f>
        <v>0</v>
      </c>
      <c r="CT587" s="349"/>
      <c r="CU587" s="349"/>
      <c r="CV587" s="350">
        <f>IF(CT587=0,0,(CU587-CT587)/CT587*100)</f>
        <v>0</v>
      </c>
      <c r="CW587" s="349"/>
      <c r="CX587" s="349"/>
      <c r="CY587" s="350">
        <f>IF(CW587=0,0,(CX587-CW587)/CW587*100)</f>
        <v>0</v>
      </c>
      <c r="CZ587" s="349"/>
      <c r="DA587" s="349"/>
      <c r="DB587" s="350">
        <f>IF(CZ587=0,0,(DA587-CZ587)/CZ587*100)</f>
        <v>0</v>
      </c>
      <c r="DC587" s="349"/>
      <c r="DD587" s="349"/>
      <c r="DE587" s="350">
        <f>IF(DC587=0,0,(DD587-DC587)/DC587*100)</f>
        <v>0</v>
      </c>
      <c r="DF587" s="349"/>
      <c r="DG587" s="349"/>
      <c r="DH587" s="350">
        <f>IF(DF587=0,0,(DG587-DF587)/DF587*100)</f>
        <v>0</v>
      </c>
      <c r="DI587" s="349"/>
      <c r="DJ587" s="349"/>
      <c r="DK587" s="350">
        <f>IF(DI587=0,0,(DJ587-DI587)/DI587*100)</f>
        <v>0</v>
      </c>
      <c r="DL587" s="349"/>
      <c r="DM587" s="349"/>
      <c r="DN587" s="350">
        <f>IF(DL587=0,0,(DM587-DL587)/DL587*100)</f>
        <v>0</v>
      </c>
      <c r="DO587" s="349"/>
      <c r="DP587" s="349"/>
      <c r="DQ587" s="350">
        <f>IF(DO587=0,0,(DP587-DO587)/DO587*100)</f>
        <v>0</v>
      </c>
      <c r="DR587" s="349"/>
      <c r="DS587" s="349"/>
      <c r="DT587" s="350">
        <f>IF(DR587=0,0,(DS587-DR587)/DR587*100)</f>
        <v>0</v>
      </c>
      <c r="DU587" s="349"/>
      <c r="DV587" s="349"/>
      <c r="DW587" s="350">
        <f>IF(DU587=0,0,(DV587-DU587)/DU587*100)</f>
        <v>0</v>
      </c>
      <c r="DX587" s="349"/>
      <c r="DY587" s="349"/>
      <c r="DZ587" s="350">
        <f>IF(DX587=0,0,(DY587-DX587)/DX587*100)</f>
        <v>0</v>
      </c>
      <c r="EA587" s="349"/>
      <c r="EB587" s="349"/>
      <c r="EC587" s="350">
        <f>IF(EA587=0,0,(EB587-EA587)/EA587*100)</f>
        <v>0</v>
      </c>
      <c r="ED587" s="349"/>
      <c r="EE587" s="349"/>
      <c r="EF587" s="350">
        <f>IF(ED587=0,0,(EE587-ED587)/ED587*100)</f>
        <v>0</v>
      </c>
      <c r="EG587" s="349"/>
      <c r="EH587" s="349"/>
      <c r="EI587" s="350">
        <f>IF(EG587=0,0,(EH587-EG587)/EG587*100)</f>
        <v>0</v>
      </c>
      <c r="EJ587" s="349"/>
      <c r="EK587" s="349"/>
      <c r="EL587" s="350">
        <f>IF(EJ587=0,0,(EK587-EJ587)/EJ587*100)</f>
        <v>0</v>
      </c>
      <c r="EM587" s="349"/>
      <c r="EN587" s="349"/>
      <c r="EO587" s="350">
        <f>IF(EM587=0,0,(EN587-EM587)/EM587*100)</f>
        <v>0</v>
      </c>
      <c r="EP587" s="349"/>
      <c r="EQ587" s="349"/>
      <c r="ER587" s="350">
        <f>IF(EP587=0,0,(EQ587-EP587)/EP587*100)</f>
        <v>0</v>
      </c>
      <c r="ES587" s="349"/>
      <c r="ET587" s="349"/>
      <c r="EU587" s="350">
        <f>IF(ES587=0,0,(ET587-ES587)/ES587*100)</f>
        <v>0</v>
      </c>
      <c r="EV587" s="349"/>
      <c r="EW587" s="349"/>
      <c r="EX587" s="350">
        <f>IF(EV587=0,0,(EW587-EV587)/EV587*100)</f>
        <v>0</v>
      </c>
      <c r="EY587" s="349"/>
      <c r="EZ587" s="349"/>
      <c r="FA587" s="350">
        <f>IF(EY587=0,0,(EZ587-EY587)/EY587*100)</f>
        <v>0</v>
      </c>
      <c r="FB587" s="349"/>
      <c r="FC587" s="349"/>
      <c r="FD587" s="350">
        <f>IF(FB587=0,0,(FC587-FB587)/FB587*100)</f>
        <v>0</v>
      </c>
      <c r="FE587" s="349"/>
      <c r="FF587" s="349"/>
      <c r="FG587" s="350">
        <f>IF(FE587=0,0,(FF587-FE587)/FE587*100)</f>
        <v>0</v>
      </c>
    </row>
    <row r="588" spans="1:163" s="346" customFormat="1" ht="15" customHeight="1" outlineLevel="1">
      <c r="A588" s="509" t="str">
        <f t="shared" si="127"/>
        <v>1</v>
      </c>
      <c r="B588" s="509" t="s">
        <v>1176</v>
      </c>
      <c r="C588" s="509" t="s">
        <v>1407</v>
      </c>
      <c r="D588" s="509" t="s">
        <v>1604</v>
      </c>
      <c r="G588" s="509" t="b">
        <f>F582="одноставочный"</f>
        <v>1</v>
      </c>
      <c r="L588" s="347" t="s">
        <v>1112</v>
      </c>
      <c r="M588" s="348" t="s">
        <v>655</v>
      </c>
      <c r="N588" s="349" t="e">
        <f>SUMIFS(INDEX(Калькуляция!$T$15:$AM$266,,MATCH(N$3,Калькуляция!$T$3:$AM$3,0)),Калькуляция!$A$15:$A$266,$A588,Калькуляция!$B$15:$B$266,$B588)</f>
        <v>#N/A</v>
      </c>
      <c r="O588" s="349" t="e">
        <f>SUMIFS(INDEX(Калькуляция!$T$15:$AM$266,,MATCH(O$3,Калькуляция!$T$3:$AM$3,0)),Калькуляция!$A$15:$A$266,$A588,Калькуляция!$B$15:$B$266,$B588)</f>
        <v>#N/A</v>
      </c>
      <c r="P588" s="350" t="e">
        <f>IF(N588=0,0,(O588-N588)/N588*100)</f>
        <v>#N/A</v>
      </c>
      <c r="Q588" s="349" t="e">
        <f>SUMIFS(INDEX(Калькуляция!$T$15:$AM$266,,MATCH(Q$3,Калькуляция!$T$3:$AM$3,0)),Калькуляция!$A$15:$A$266,$A588,Калькуляция!$B$15:$B$266,$B588)</f>
        <v>#N/A</v>
      </c>
      <c r="R588" s="349" t="e">
        <f>SUMIFS(INDEX(Калькуляция!$T$15:$AM$266,,MATCH(R$3,Калькуляция!$T$3:$AM$3,0)),Калькуляция!$A$15:$A$266,$A588,Калькуляция!$B$15:$B$266,$B588)</f>
        <v>#N/A</v>
      </c>
      <c r="S588" s="350" t="e">
        <f>IF(Q588=0,0,(R588-Q588)/Q588*100)</f>
        <v>#N/A</v>
      </c>
      <c r="T588" s="349" t="e">
        <f>SUMIFS(INDEX(Калькуляция!$T$15:$AM$266,,MATCH(T$3,Калькуляция!$T$3:$AM$3,0)),Калькуляция!$A$15:$A$266,$A588,Калькуляция!$B$15:$B$266,$B588)</f>
        <v>#N/A</v>
      </c>
      <c r="U588" s="349" t="e">
        <f>SUMIFS(INDEX(Калькуляция!$T$15:$AM$266,,MATCH(U$3,Калькуляция!$T$3:$AM$3,0)),Калькуляция!$A$15:$A$266,$A588,Калькуляция!$B$15:$B$266,$B588)</f>
        <v>#N/A</v>
      </c>
      <c r="V588" s="350" t="e">
        <f>IF(T588=0,0,(U588-T588)/T588*100)</f>
        <v>#N/A</v>
      </c>
      <c r="W588" s="349" t="e">
        <f>SUMIFS(INDEX(Калькуляция!$T$15:$AM$266,,MATCH(W$3,Калькуляция!$T$3:$AM$3,0)),Калькуляция!$A$15:$A$266,$A588,Калькуляция!$B$15:$B$266,$B588)</f>
        <v>#N/A</v>
      </c>
      <c r="X588" s="349" t="e">
        <f>SUMIFS(INDEX(Калькуляция!$T$15:$AM$266,,MATCH(X$3,Калькуляция!$T$3:$AM$3,0)),Калькуляция!$A$15:$A$266,$A588,Калькуляция!$B$15:$B$266,$B588)</f>
        <v>#N/A</v>
      </c>
      <c r="Y588" s="350" t="e">
        <f>IF(W588=0,0,(X588-W588)/W588*100)</f>
        <v>#N/A</v>
      </c>
      <c r="Z588" s="349" t="e">
        <f>SUMIFS(INDEX(Калькуляция!$T$15:$AM$266,,MATCH(Z$3,Калькуляция!$T$3:$AM$3,0)),Калькуляция!$A$15:$A$266,$A588,Калькуляция!$B$15:$B$266,$B588)</f>
        <v>#N/A</v>
      </c>
      <c r="AA588" s="349" t="e">
        <f>SUMIFS(INDEX(Калькуляция!$T$15:$AM$266,,MATCH(AA$3,Калькуляция!$T$3:$AM$3,0)),Калькуляция!$A$15:$A$266,$A588,Калькуляция!$B$15:$B$266,$B588)</f>
        <v>#N/A</v>
      </c>
      <c r="AB588" s="350" t="e">
        <f>IF(Z588=0,0,(AA588-Z588)/Z588*100)</f>
        <v>#N/A</v>
      </c>
      <c r="AC588" s="349" t="e">
        <f>SUMIFS(INDEX(Калькуляция!$T$15:$AM$266,,MATCH(AC$3,Калькуляция!$T$3:$AM$3,0)),Калькуляция!$A$15:$A$266,$A588,Калькуляция!$B$15:$B$266,$B588)</f>
        <v>#N/A</v>
      </c>
      <c r="AD588" s="349" t="e">
        <f>SUMIFS(INDEX(Калькуляция!$T$15:$AM$266,,MATCH(AD$3,Калькуляция!$T$3:$AM$3,0)),Калькуляция!$A$15:$A$266,$A588,Калькуляция!$B$15:$B$266,$B588)</f>
        <v>#N/A</v>
      </c>
      <c r="AE588" s="350" t="e">
        <f>IF(AC588=0,0,(AD588-AC588)/AC588*100)</f>
        <v>#N/A</v>
      </c>
      <c r="AF588" s="349" t="e">
        <f>SUMIFS(INDEX(Калькуляция!$T$15:$AM$266,,MATCH(AF$3,Калькуляция!$T$3:$AM$3,0)),Калькуляция!$A$15:$A$266,$A588,Калькуляция!$B$15:$B$266,$B588)</f>
        <v>#N/A</v>
      </c>
      <c r="AG588" s="349" t="e">
        <f>SUMIFS(INDEX(Калькуляция!$T$15:$AM$266,,MATCH(AG$3,Калькуляция!$T$3:$AM$3,0)),Калькуляция!$A$15:$A$266,$A588,Калькуляция!$B$15:$B$266,$B588)</f>
        <v>#N/A</v>
      </c>
      <c r="AH588" s="350" t="e">
        <f>IF(AF588=0,0,(AG588-AF588)/AF588*100)</f>
        <v>#N/A</v>
      </c>
      <c r="AI588" s="349" t="e">
        <f>SUMIFS(INDEX(Калькуляция!$T$15:$AM$266,,MATCH(AI$3,Калькуляция!$T$3:$AM$3,0)),Калькуляция!$A$15:$A$266,$A588,Калькуляция!$B$15:$B$266,$B588)</f>
        <v>#N/A</v>
      </c>
      <c r="AJ588" s="349" t="e">
        <f>SUMIFS(INDEX(Калькуляция!$T$15:$AM$266,,MATCH(AJ$3,Калькуляция!$T$3:$AM$3,0)),Калькуляция!$A$15:$A$266,$A588,Калькуляция!$B$15:$B$266,$B588)</f>
        <v>#N/A</v>
      </c>
      <c r="AK588" s="350" t="e">
        <f>IF(AI588=0,0,(AJ588-AI588)/AI588*100)</f>
        <v>#N/A</v>
      </c>
      <c r="AL588" s="349" t="e">
        <f>SUMIFS(INDEX(Калькуляция!$T$15:$AM$266,,MATCH(AL$3,Калькуляция!$T$3:$AM$3,0)),Калькуляция!$A$15:$A$266,$A588,Калькуляция!$B$15:$B$266,$B588)</f>
        <v>#N/A</v>
      </c>
      <c r="AM588" s="349" t="e">
        <f>SUMIFS(INDEX(Калькуляция!$T$15:$AM$266,,MATCH(AM$3,Калькуляция!$T$3:$AM$3,0)),Калькуляция!$A$15:$A$266,$A588,Калькуляция!$B$15:$B$266,$B588)</f>
        <v>#N/A</v>
      </c>
      <c r="AN588" s="350" t="e">
        <f>IF(AL588=0,0,(AM588-AL588)/AL588*100)</f>
        <v>#N/A</v>
      </c>
      <c r="AO588" s="349" t="e">
        <f>SUMIFS(INDEX(Калькуляция!$T$15:$AM$266,,MATCH(AO$3,Калькуляция!$T$3:$AM$3,0)),Калькуляция!$A$15:$A$266,$A588,Калькуляция!$B$15:$B$266,$B588)</f>
        <v>#N/A</v>
      </c>
      <c r="AP588" s="349" t="e">
        <f>SUMIFS(INDEX(Калькуляция!$T$15:$AM$266,,MATCH(AP$3,Калькуляция!$T$3:$AM$3,0)),Калькуляция!$A$15:$A$266,$A588,Калькуляция!$B$15:$B$266,$B588)</f>
        <v>#N/A</v>
      </c>
      <c r="AQ588" s="350" t="e">
        <f>IF(AO588=0,0,(AP588-AO588)/AO588*100)</f>
        <v>#N/A</v>
      </c>
      <c r="AR588" s="349"/>
      <c r="AS588" s="349"/>
      <c r="AT588" s="350">
        <f>IF(AR588=0,0,(AS588-AR588)/AR588*100)</f>
        <v>0</v>
      </c>
      <c r="AU588" s="349"/>
      <c r="AV588" s="349"/>
      <c r="AW588" s="350">
        <f>IF(AU588=0,0,(AV588-AU588)/AU588*100)</f>
        <v>0</v>
      </c>
      <c r="AX588" s="349"/>
      <c r="AY588" s="349"/>
      <c r="AZ588" s="350">
        <f>IF(AX588=0,0,(AY588-AX588)/AX588*100)</f>
        <v>0</v>
      </c>
      <c r="BA588" s="349"/>
      <c r="BB588" s="349"/>
      <c r="BC588" s="350">
        <f>IF(BA588=0,0,(BB588-BA588)/BA588*100)</f>
        <v>0</v>
      </c>
      <c r="BD588" s="349"/>
      <c r="BE588" s="349"/>
      <c r="BF588" s="350">
        <f>IF(BD588=0,0,(BE588-BD588)/BD588*100)</f>
        <v>0</v>
      </c>
      <c r="BG588" s="349"/>
      <c r="BH588" s="349"/>
      <c r="BI588" s="350">
        <f>IF(BG588=0,0,(BH588-BG588)/BG588*100)</f>
        <v>0</v>
      </c>
      <c r="BJ588" s="349"/>
      <c r="BK588" s="349"/>
      <c r="BL588" s="350">
        <f>IF(BJ588=0,0,(BK588-BJ588)/BJ588*100)</f>
        <v>0</v>
      </c>
      <c r="BM588" s="349"/>
      <c r="BN588" s="349"/>
      <c r="BO588" s="350">
        <f>IF(BM588=0,0,(BN588-BM588)/BM588*100)</f>
        <v>0</v>
      </c>
      <c r="BP588" s="349"/>
      <c r="BQ588" s="349"/>
      <c r="BR588" s="350">
        <f>IF(BP588=0,0,(BQ588-BP588)/BP588*100)</f>
        <v>0</v>
      </c>
      <c r="BS588" s="349"/>
      <c r="BT588" s="349"/>
      <c r="BU588" s="350">
        <f>IF(BS588=0,0,(BT588-BS588)/BS588*100)</f>
        <v>0</v>
      </c>
      <c r="BV588" s="349"/>
      <c r="BW588" s="349"/>
      <c r="BX588" s="350">
        <f>IF(BV588=0,0,(BW588-BV588)/BV588*100)</f>
        <v>0</v>
      </c>
      <c r="BY588" s="349"/>
      <c r="BZ588" s="349"/>
      <c r="CA588" s="350">
        <f>IF(BY588=0,0,(BZ588-BY588)/BY588*100)</f>
        <v>0</v>
      </c>
      <c r="CB588" s="349"/>
      <c r="CC588" s="349"/>
      <c r="CD588" s="350">
        <f>IF(CB588=0,0,(CC588-CB588)/CB588*100)</f>
        <v>0</v>
      </c>
      <c r="CE588" s="349"/>
      <c r="CF588" s="349"/>
      <c r="CG588" s="350">
        <f>IF(CE588=0,0,(CF588-CE588)/CE588*100)</f>
        <v>0</v>
      </c>
      <c r="CH588" s="349"/>
      <c r="CI588" s="349"/>
      <c r="CJ588" s="350">
        <f>IF(CH588=0,0,(CI588-CH588)/CH588*100)</f>
        <v>0</v>
      </c>
      <c r="CK588" s="349"/>
      <c r="CL588" s="349"/>
      <c r="CM588" s="350">
        <f>IF(CK588=0,0,(CL588-CK588)/CK588*100)</f>
        <v>0</v>
      </c>
      <c r="CN588" s="349"/>
      <c r="CO588" s="349"/>
      <c r="CP588" s="350">
        <f>IF(CN588=0,0,(CO588-CN588)/CN588*100)</f>
        <v>0</v>
      </c>
      <c r="CQ588" s="349"/>
      <c r="CR588" s="349"/>
      <c r="CS588" s="350">
        <f>IF(CQ588=0,0,(CR588-CQ588)/CQ588*100)</f>
        <v>0</v>
      </c>
      <c r="CT588" s="349"/>
      <c r="CU588" s="349"/>
      <c r="CV588" s="350">
        <f>IF(CT588=0,0,(CU588-CT588)/CT588*100)</f>
        <v>0</v>
      </c>
      <c r="CW588" s="349"/>
      <c r="CX588" s="349"/>
      <c r="CY588" s="350">
        <f>IF(CW588=0,0,(CX588-CW588)/CW588*100)</f>
        <v>0</v>
      </c>
      <c r="CZ588" s="349"/>
      <c r="DA588" s="349"/>
      <c r="DB588" s="350">
        <f>IF(CZ588=0,0,(DA588-CZ588)/CZ588*100)</f>
        <v>0</v>
      </c>
      <c r="DC588" s="349"/>
      <c r="DD588" s="349"/>
      <c r="DE588" s="350">
        <f>IF(DC588=0,0,(DD588-DC588)/DC588*100)</f>
        <v>0</v>
      </c>
      <c r="DF588" s="349"/>
      <c r="DG588" s="349"/>
      <c r="DH588" s="350">
        <f>IF(DF588=0,0,(DG588-DF588)/DF588*100)</f>
        <v>0</v>
      </c>
      <c r="DI588" s="349"/>
      <c r="DJ588" s="349"/>
      <c r="DK588" s="350">
        <f>IF(DI588=0,0,(DJ588-DI588)/DI588*100)</f>
        <v>0</v>
      </c>
      <c r="DL588" s="349"/>
      <c r="DM588" s="349"/>
      <c r="DN588" s="350">
        <f>IF(DL588=0,0,(DM588-DL588)/DL588*100)</f>
        <v>0</v>
      </c>
      <c r="DO588" s="349"/>
      <c r="DP588" s="349"/>
      <c r="DQ588" s="350">
        <f>IF(DO588=0,0,(DP588-DO588)/DO588*100)</f>
        <v>0</v>
      </c>
      <c r="DR588" s="349"/>
      <c r="DS588" s="349"/>
      <c r="DT588" s="350">
        <f>IF(DR588=0,0,(DS588-DR588)/DR588*100)</f>
        <v>0</v>
      </c>
      <c r="DU588" s="349"/>
      <c r="DV588" s="349"/>
      <c r="DW588" s="350">
        <f>IF(DU588=0,0,(DV588-DU588)/DU588*100)</f>
        <v>0</v>
      </c>
      <c r="DX588" s="349"/>
      <c r="DY588" s="349"/>
      <c r="DZ588" s="350">
        <f>IF(DX588=0,0,(DY588-DX588)/DX588*100)</f>
        <v>0</v>
      </c>
      <c r="EA588" s="349"/>
      <c r="EB588" s="349"/>
      <c r="EC588" s="350">
        <f>IF(EA588=0,0,(EB588-EA588)/EA588*100)</f>
        <v>0</v>
      </c>
      <c r="ED588" s="349"/>
      <c r="EE588" s="349"/>
      <c r="EF588" s="350">
        <f>IF(ED588=0,0,(EE588-ED588)/ED588*100)</f>
        <v>0</v>
      </c>
      <c r="EG588" s="349"/>
      <c r="EH588" s="349"/>
      <c r="EI588" s="350">
        <f>IF(EG588=0,0,(EH588-EG588)/EG588*100)</f>
        <v>0</v>
      </c>
      <c r="EJ588" s="349"/>
      <c r="EK588" s="349"/>
      <c r="EL588" s="350">
        <f>IF(EJ588=0,0,(EK588-EJ588)/EJ588*100)</f>
        <v>0</v>
      </c>
      <c r="EM588" s="349"/>
      <c r="EN588" s="349"/>
      <c r="EO588" s="350">
        <f>IF(EM588=0,0,(EN588-EM588)/EM588*100)</f>
        <v>0</v>
      </c>
      <c r="EP588" s="349"/>
      <c r="EQ588" s="349"/>
      <c r="ER588" s="350">
        <f>IF(EP588=0,0,(EQ588-EP588)/EP588*100)</f>
        <v>0</v>
      </c>
      <c r="ES588" s="349"/>
      <c r="ET588" s="349"/>
      <c r="EU588" s="350">
        <f>IF(ES588=0,0,(ET588-ES588)/ES588*100)</f>
        <v>0</v>
      </c>
      <c r="EV588" s="349"/>
      <c r="EW588" s="349"/>
      <c r="EX588" s="350">
        <f>IF(EV588=0,0,(EW588-EV588)/EV588*100)</f>
        <v>0</v>
      </c>
      <c r="EY588" s="349"/>
      <c r="EZ588" s="349"/>
      <c r="FA588" s="350">
        <f>IF(EY588=0,0,(EZ588-EY588)/EY588*100)</f>
        <v>0</v>
      </c>
      <c r="FB588" s="349"/>
      <c r="FC588" s="349"/>
      <c r="FD588" s="350">
        <f>IF(FB588=0,0,(FC588-FB588)/FB588*100)</f>
        <v>0</v>
      </c>
      <c r="FE588" s="349"/>
      <c r="FF588" s="349"/>
      <c r="FG588" s="350">
        <f>IF(FE588=0,0,(FF588-FE588)/FE588*100)</f>
        <v>0</v>
      </c>
    </row>
    <row r="589" spans="1:163" s="509" customFormat="1" ht="15" customHeight="1" outlineLevel="1">
      <c r="A589" s="509" t="str">
        <f t="shared" si="127"/>
        <v>1</v>
      </c>
      <c r="C589" s="509" t="s">
        <v>1408</v>
      </c>
      <c r="D589" s="509" t="s">
        <v>1605</v>
      </c>
      <c r="G589" s="509" t="b">
        <f>F582="одноставочный"</f>
        <v>1</v>
      </c>
      <c r="L589" s="351" t="s">
        <v>663</v>
      </c>
      <c r="M589" s="499" t="s">
        <v>137</v>
      </c>
      <c r="N589" s="352" t="e">
        <f>IF(N587=0,0,N588/N587)*100</f>
        <v>#N/A</v>
      </c>
      <c r="O589" s="352" t="e">
        <f>IF(O587=0,0,O588/O587)*100</f>
        <v>#N/A</v>
      </c>
      <c r="P589" s="353"/>
      <c r="Q589" s="352" t="e">
        <f>IF(Q587=0,0,Q588/Q587)*100</f>
        <v>#N/A</v>
      </c>
      <c r="R589" s="352" t="e">
        <f>IF(R587=0,0,R588/R587)*100</f>
        <v>#N/A</v>
      </c>
      <c r="S589" s="353"/>
      <c r="T589" s="352" t="e">
        <f>IF(T587=0,0,T588/T587)*100</f>
        <v>#N/A</v>
      </c>
      <c r="U589" s="352" t="e">
        <f>IF(U587=0,0,U588/U587)*100</f>
        <v>#N/A</v>
      </c>
      <c r="V589" s="353"/>
      <c r="W589" s="352" t="e">
        <f>IF(W587=0,0,W588/W587)*100</f>
        <v>#N/A</v>
      </c>
      <c r="X589" s="352" t="e">
        <f>IF(X587=0,0,X588/X587)*100</f>
        <v>#N/A</v>
      </c>
      <c r="Y589" s="353"/>
      <c r="Z589" s="352" t="e">
        <f>IF(Z587=0,0,Z588/Z587)*100</f>
        <v>#N/A</v>
      </c>
      <c r="AA589" s="352" t="e">
        <f>IF(AA587=0,0,AA588/AA587)*100</f>
        <v>#N/A</v>
      </c>
      <c r="AB589" s="353"/>
      <c r="AC589" s="352" t="e">
        <f>IF(AC587=0,0,AC588/AC587)*100</f>
        <v>#N/A</v>
      </c>
      <c r="AD589" s="352" t="e">
        <f>IF(AD587=0,0,AD588/AD587)*100</f>
        <v>#N/A</v>
      </c>
      <c r="AE589" s="353"/>
      <c r="AF589" s="352" t="e">
        <f>IF(AF587=0,0,AF588/AF587)*100</f>
        <v>#N/A</v>
      </c>
      <c r="AG589" s="352" t="e">
        <f>IF(AG587=0,0,AG588/AG587)*100</f>
        <v>#N/A</v>
      </c>
      <c r="AH589" s="353"/>
      <c r="AI589" s="352" t="e">
        <f>IF(AI587=0,0,AI588/AI587)*100</f>
        <v>#N/A</v>
      </c>
      <c r="AJ589" s="352" t="e">
        <f>IF(AJ587=0,0,AJ588/AJ587)*100</f>
        <v>#N/A</v>
      </c>
      <c r="AK589" s="353"/>
      <c r="AL589" s="352" t="e">
        <f>IF(AL587=0,0,AL588/AL587)*100</f>
        <v>#N/A</v>
      </c>
      <c r="AM589" s="352" t="e">
        <f>IF(AM587=0,0,AM588/AM587)*100</f>
        <v>#N/A</v>
      </c>
      <c r="AN589" s="353"/>
      <c r="AO589" s="352" t="e">
        <f>IF(AO587=0,0,AO588/AO587)*100</f>
        <v>#N/A</v>
      </c>
      <c r="AP589" s="352" t="e">
        <f>IF(AP587=0,0,AP588/AP587)*100</f>
        <v>#N/A</v>
      </c>
      <c r="AQ589" s="353"/>
      <c r="AR589" s="352">
        <f>IF(AR587=0,0,AR588/AR587)*100</f>
        <v>0</v>
      </c>
      <c r="AS589" s="352">
        <f>IF(AS587=0,0,AS588/AS587)*100</f>
        <v>0</v>
      </c>
      <c r="AT589" s="353"/>
      <c r="AU589" s="352">
        <f>IF(AU587=0,0,AU588/AU587)*100</f>
        <v>0</v>
      </c>
      <c r="AV589" s="352">
        <f>IF(AV587=0,0,AV588/AV587)*100</f>
        <v>0</v>
      </c>
      <c r="AW589" s="353"/>
      <c r="AX589" s="352">
        <f>IF(AX587=0,0,AX588/AX587)*100</f>
        <v>0</v>
      </c>
      <c r="AY589" s="352">
        <f>IF(AY587=0,0,AY588/AY587)*100</f>
        <v>0</v>
      </c>
      <c r="AZ589" s="353"/>
      <c r="BA589" s="352">
        <f>IF(BA587=0,0,BA588/BA587)*100</f>
        <v>0</v>
      </c>
      <c r="BB589" s="352">
        <f>IF(BB587=0,0,BB588/BB587)*100</f>
        <v>0</v>
      </c>
      <c r="BC589" s="353"/>
      <c r="BD589" s="352">
        <f>IF(BD587=0,0,BD588/BD587)*100</f>
        <v>0</v>
      </c>
      <c r="BE589" s="352">
        <f>IF(BE587=0,0,BE588/BE587)*100</f>
        <v>0</v>
      </c>
      <c r="BF589" s="353"/>
      <c r="BG589" s="352">
        <f>IF(BG587=0,0,BG588/BG587)*100</f>
        <v>0</v>
      </c>
      <c r="BH589" s="352">
        <f>IF(BH587=0,0,BH588/BH587)*100</f>
        <v>0</v>
      </c>
      <c r="BI589" s="353"/>
      <c r="BJ589" s="352">
        <f>IF(BJ587=0,0,BJ588/BJ587)*100</f>
        <v>0</v>
      </c>
      <c r="BK589" s="352">
        <f>IF(BK587=0,0,BK588/BK587)*100</f>
        <v>0</v>
      </c>
      <c r="BL589" s="353"/>
      <c r="BM589" s="352">
        <f>IF(BM587=0,0,BM588/BM587)*100</f>
        <v>0</v>
      </c>
      <c r="BN589" s="352">
        <f>IF(BN587=0,0,BN588/BN587)*100</f>
        <v>0</v>
      </c>
      <c r="BO589" s="353"/>
      <c r="BP589" s="352">
        <f>IF(BP587=0,0,BP588/BP587)*100</f>
        <v>0</v>
      </c>
      <c r="BQ589" s="352">
        <f>IF(BQ587=0,0,BQ588/BQ587)*100</f>
        <v>0</v>
      </c>
      <c r="BR589" s="353"/>
      <c r="BS589" s="352">
        <f>IF(BS587=0,0,BS588/BS587)*100</f>
        <v>0</v>
      </c>
      <c r="BT589" s="352">
        <f>IF(BT587=0,0,BT588/BT587)*100</f>
        <v>0</v>
      </c>
      <c r="BU589" s="353"/>
      <c r="BV589" s="352">
        <f>IF(BV587=0,0,BV588/BV587)*100</f>
        <v>0</v>
      </c>
      <c r="BW589" s="352">
        <f>IF(BW587=0,0,BW588/BW587)*100</f>
        <v>0</v>
      </c>
      <c r="BX589" s="353"/>
      <c r="BY589" s="352">
        <f>IF(BY587=0,0,BY588/BY587)*100</f>
        <v>0</v>
      </c>
      <c r="BZ589" s="352">
        <f>IF(BZ587=0,0,BZ588/BZ587)*100</f>
        <v>0</v>
      </c>
      <c r="CA589" s="353"/>
      <c r="CB589" s="352">
        <f>IF(CB587=0,0,CB588/CB587)*100</f>
        <v>0</v>
      </c>
      <c r="CC589" s="352">
        <f>IF(CC587=0,0,CC588/CC587)*100</f>
        <v>0</v>
      </c>
      <c r="CD589" s="353"/>
      <c r="CE589" s="352">
        <f>IF(CE587=0,0,CE588/CE587)*100</f>
        <v>0</v>
      </c>
      <c r="CF589" s="352">
        <f>IF(CF587=0,0,CF588/CF587)*100</f>
        <v>0</v>
      </c>
      <c r="CG589" s="353"/>
      <c r="CH589" s="352">
        <f>IF(CH587=0,0,CH588/CH587)*100</f>
        <v>0</v>
      </c>
      <c r="CI589" s="352">
        <f>IF(CI587=0,0,CI588/CI587)*100</f>
        <v>0</v>
      </c>
      <c r="CJ589" s="353"/>
      <c r="CK589" s="352">
        <f>IF(CK587=0,0,CK588/CK587)*100</f>
        <v>0</v>
      </c>
      <c r="CL589" s="352">
        <f>IF(CL587=0,0,CL588/CL587)*100</f>
        <v>0</v>
      </c>
      <c r="CM589" s="353"/>
      <c r="CN589" s="352">
        <f>IF(CN587=0,0,CN588/CN587)*100</f>
        <v>0</v>
      </c>
      <c r="CO589" s="352">
        <f>IF(CO587=0,0,CO588/CO587)*100</f>
        <v>0</v>
      </c>
      <c r="CP589" s="353"/>
      <c r="CQ589" s="352">
        <f>IF(CQ587=0,0,CQ588/CQ587)*100</f>
        <v>0</v>
      </c>
      <c r="CR589" s="352">
        <f>IF(CR587=0,0,CR588/CR587)*100</f>
        <v>0</v>
      </c>
      <c r="CS589" s="353"/>
      <c r="CT589" s="352">
        <f>IF(CT587=0,0,CT588/CT587)*100</f>
        <v>0</v>
      </c>
      <c r="CU589" s="352">
        <f>IF(CU587=0,0,CU588/CU587)*100</f>
        <v>0</v>
      </c>
      <c r="CV589" s="353"/>
      <c r="CW589" s="352">
        <f>IF(CW587=0,0,CW588/CW587)*100</f>
        <v>0</v>
      </c>
      <c r="CX589" s="352">
        <f>IF(CX587=0,0,CX588/CX587)*100</f>
        <v>0</v>
      </c>
      <c r="CY589" s="353"/>
      <c r="CZ589" s="352">
        <f>IF(CZ587=0,0,CZ588/CZ587)*100</f>
        <v>0</v>
      </c>
      <c r="DA589" s="352">
        <f>IF(DA587=0,0,DA588/DA587)*100</f>
        <v>0</v>
      </c>
      <c r="DB589" s="353"/>
      <c r="DC589" s="352">
        <f>IF(DC587=0,0,DC588/DC587)*100</f>
        <v>0</v>
      </c>
      <c r="DD589" s="352">
        <f>IF(DD587=0,0,DD588/DD587)*100</f>
        <v>0</v>
      </c>
      <c r="DE589" s="353"/>
      <c r="DF589" s="352">
        <f>IF(DF587=0,0,DF588/DF587)*100</f>
        <v>0</v>
      </c>
      <c r="DG589" s="352">
        <f>IF(DG587=0,0,DG588/DG587)*100</f>
        <v>0</v>
      </c>
      <c r="DH589" s="353"/>
      <c r="DI589" s="352">
        <f>IF(DI587=0,0,DI588/DI587)*100</f>
        <v>0</v>
      </c>
      <c r="DJ589" s="352">
        <f>IF(DJ587=0,0,DJ588/DJ587)*100</f>
        <v>0</v>
      </c>
      <c r="DK589" s="353"/>
      <c r="DL589" s="352">
        <f>IF(DL587=0,0,DL588/DL587)*100</f>
        <v>0</v>
      </c>
      <c r="DM589" s="352">
        <f>IF(DM587=0,0,DM588/DM587)*100</f>
        <v>0</v>
      </c>
      <c r="DN589" s="353"/>
      <c r="DO589" s="352">
        <f>IF(DO587=0,0,DO588/DO587)*100</f>
        <v>0</v>
      </c>
      <c r="DP589" s="352">
        <f>IF(DP587=0,0,DP588/DP587)*100</f>
        <v>0</v>
      </c>
      <c r="DQ589" s="353"/>
      <c r="DR589" s="352">
        <f>IF(DR587=0,0,DR588/DR587)*100</f>
        <v>0</v>
      </c>
      <c r="DS589" s="352">
        <f>IF(DS587=0,0,DS588/DS587)*100</f>
        <v>0</v>
      </c>
      <c r="DT589" s="353"/>
      <c r="DU589" s="352">
        <f>IF(DU587=0,0,DU588/DU587)*100</f>
        <v>0</v>
      </c>
      <c r="DV589" s="352">
        <f>IF(DV587=0,0,DV588/DV587)*100</f>
        <v>0</v>
      </c>
      <c r="DW589" s="353"/>
      <c r="DX589" s="352">
        <f>IF(DX587=0,0,DX588/DX587)*100</f>
        <v>0</v>
      </c>
      <c r="DY589" s="352">
        <f>IF(DY587=0,0,DY588/DY587)*100</f>
        <v>0</v>
      </c>
      <c r="DZ589" s="353"/>
      <c r="EA589" s="352">
        <f>IF(EA587=0,0,EA588/EA587)*100</f>
        <v>0</v>
      </c>
      <c r="EB589" s="352">
        <f>IF(EB587=0,0,EB588/EB587)*100</f>
        <v>0</v>
      </c>
      <c r="EC589" s="353"/>
      <c r="ED589" s="352">
        <f>IF(ED587=0,0,ED588/ED587)*100</f>
        <v>0</v>
      </c>
      <c r="EE589" s="352">
        <f>IF(EE587=0,0,EE588/EE587)*100</f>
        <v>0</v>
      </c>
      <c r="EF589" s="353"/>
      <c r="EG589" s="352">
        <f>IF(EG587=0,0,EG588/EG587)*100</f>
        <v>0</v>
      </c>
      <c r="EH589" s="352">
        <f>IF(EH587=0,0,EH588/EH587)*100</f>
        <v>0</v>
      </c>
      <c r="EI589" s="353"/>
      <c r="EJ589" s="352">
        <f>IF(EJ587=0,0,EJ588/EJ587)*100</f>
        <v>0</v>
      </c>
      <c r="EK589" s="352">
        <f>IF(EK587=0,0,EK588/EK587)*100</f>
        <v>0</v>
      </c>
      <c r="EL589" s="353"/>
      <c r="EM589" s="352">
        <f>IF(EM587=0,0,EM588/EM587)*100</f>
        <v>0</v>
      </c>
      <c r="EN589" s="352">
        <f>IF(EN587=0,0,EN588/EN587)*100</f>
        <v>0</v>
      </c>
      <c r="EO589" s="353"/>
      <c r="EP589" s="352">
        <f>IF(EP587=0,0,EP588/EP587)*100</f>
        <v>0</v>
      </c>
      <c r="EQ589" s="352">
        <f>IF(EQ587=0,0,EQ588/EQ587)*100</f>
        <v>0</v>
      </c>
      <c r="ER589" s="353"/>
      <c r="ES589" s="352">
        <f>IF(ES587=0,0,ES588/ES587)*100</f>
        <v>0</v>
      </c>
      <c r="ET589" s="352">
        <f>IF(ET587=0,0,ET588/ET587)*100</f>
        <v>0</v>
      </c>
      <c r="EU589" s="353"/>
      <c r="EV589" s="352">
        <f>IF(EV587=0,0,EV588/EV587)*100</f>
        <v>0</v>
      </c>
      <c r="EW589" s="352">
        <f>IF(EW587=0,0,EW588/EW587)*100</f>
        <v>0</v>
      </c>
      <c r="EX589" s="353"/>
      <c r="EY589" s="352">
        <f>IF(EY587=0,0,EY588/EY587)*100</f>
        <v>0</v>
      </c>
      <c r="EZ589" s="352">
        <f>IF(EZ587=0,0,EZ588/EZ587)*100</f>
        <v>0</v>
      </c>
      <c r="FA589" s="353"/>
      <c r="FB589" s="352">
        <f>IF(FB587=0,0,FB588/FB587)*100</f>
        <v>0</v>
      </c>
      <c r="FC589" s="352">
        <f>IF(FC587=0,0,FC588/FC587)*100</f>
        <v>0</v>
      </c>
      <c r="FD589" s="353"/>
      <c r="FE589" s="352">
        <f>IF(FE587=0,0,FE588/FE587)*100</f>
        <v>0</v>
      </c>
      <c r="FF589" s="352">
        <f>IF(FF587=0,0,FF588/FF587)*100</f>
        <v>0</v>
      </c>
      <c r="FG589" s="353"/>
    </row>
    <row r="590" spans="1:163" s="509" customFormat="1" ht="15" customHeight="1" outlineLevel="1">
      <c r="A590" s="509" t="str">
        <f t="shared" si="127"/>
        <v>1</v>
      </c>
      <c r="B590" s="104" t="s">
        <v>1184</v>
      </c>
      <c r="C590" s="509" t="s">
        <v>1519</v>
      </c>
      <c r="D590" s="509" t="s">
        <v>1605</v>
      </c>
      <c r="G590" s="509" t="b">
        <f>F582="одноставочный"</f>
        <v>1</v>
      </c>
      <c r="L590" s="351" t="s">
        <v>664</v>
      </c>
      <c r="M590" s="499" t="s">
        <v>311</v>
      </c>
      <c r="N590" s="493" t="e">
        <f>SUMIFS(INDEX(Калькуляция!$T$15:$AM$266,,MATCH(N$3,Калькуляция!$T$3:$AM$3,0)),Калькуляция!$A$15:$A$266,$A590,Калькуляция!$B$15:$B$266,$B590)</f>
        <v>#N/A</v>
      </c>
      <c r="O590" s="493" t="e">
        <f>SUMIFS(INDEX(Калькуляция!$T$15:$AM$266,,MATCH(O$3,Калькуляция!$T$3:$AM$3,0)),Калькуляция!$A$15:$A$266,$A590,Калькуляция!$B$15:$B$266,$B590)</f>
        <v>#N/A</v>
      </c>
      <c r="P590" s="501" t="e">
        <f>IF(N590=0,0,(O590-N590)/N590*100)</f>
        <v>#N/A</v>
      </c>
      <c r="Q590" s="493" t="e">
        <f>SUMIFS(INDEX(Калькуляция!$T$15:$AM$266,,MATCH(Q$3,Калькуляция!$T$3:$AM$3,0)),Калькуляция!$A$15:$A$266,$A590,Калькуляция!$B$15:$B$266,$B590)</f>
        <v>#N/A</v>
      </c>
      <c r="R590" s="493" t="e">
        <f>SUMIFS(INDEX(Калькуляция!$T$15:$AM$266,,MATCH(R$3,Калькуляция!$T$3:$AM$3,0)),Калькуляция!$A$15:$A$266,$A590,Калькуляция!$B$15:$B$266,$B590)</f>
        <v>#N/A</v>
      </c>
      <c r="S590" s="501" t="e">
        <f>IF(Q590=0,0,(R590-Q590)/Q590*100)</f>
        <v>#N/A</v>
      </c>
      <c r="T590" s="493" t="e">
        <f>SUMIFS(INDEX(Калькуляция!$T$15:$AM$266,,MATCH(T$3,Калькуляция!$T$3:$AM$3,0)),Калькуляция!$A$15:$A$266,$A590,Калькуляция!$B$15:$B$266,$B590)</f>
        <v>#N/A</v>
      </c>
      <c r="U590" s="493" t="e">
        <f>SUMIFS(INDEX(Калькуляция!$T$15:$AM$266,,MATCH(U$3,Калькуляция!$T$3:$AM$3,0)),Калькуляция!$A$15:$A$266,$A590,Калькуляция!$B$15:$B$266,$B590)</f>
        <v>#N/A</v>
      </c>
      <c r="V590" s="501" t="e">
        <f>IF(T590=0,0,(U590-T590)/T590*100)</f>
        <v>#N/A</v>
      </c>
      <c r="W590" s="493" t="e">
        <f>SUMIFS(INDEX(Калькуляция!$T$15:$AM$266,,MATCH(W$3,Калькуляция!$T$3:$AM$3,0)),Калькуляция!$A$15:$A$266,$A590,Калькуляция!$B$15:$B$266,$B590)</f>
        <v>#N/A</v>
      </c>
      <c r="X590" s="493" t="e">
        <f>SUMIFS(INDEX(Калькуляция!$T$15:$AM$266,,MATCH(X$3,Калькуляция!$T$3:$AM$3,0)),Калькуляция!$A$15:$A$266,$A590,Калькуляция!$B$15:$B$266,$B590)</f>
        <v>#N/A</v>
      </c>
      <c r="Y590" s="501" t="e">
        <f>IF(W590=0,0,(X590-W590)/W590*100)</f>
        <v>#N/A</v>
      </c>
      <c r="Z590" s="493" t="e">
        <f>SUMIFS(INDEX(Калькуляция!$T$15:$AM$266,,MATCH(Z$3,Калькуляция!$T$3:$AM$3,0)),Калькуляция!$A$15:$A$266,$A590,Калькуляция!$B$15:$B$266,$B590)</f>
        <v>#N/A</v>
      </c>
      <c r="AA590" s="493" t="e">
        <f>SUMIFS(INDEX(Калькуляция!$T$15:$AM$266,,MATCH(AA$3,Калькуляция!$T$3:$AM$3,0)),Калькуляция!$A$15:$A$266,$A590,Калькуляция!$B$15:$B$266,$B590)</f>
        <v>#N/A</v>
      </c>
      <c r="AB590" s="501" t="e">
        <f>IF(Z590=0,0,(AA590-Z590)/Z590*100)</f>
        <v>#N/A</v>
      </c>
      <c r="AC590" s="493" t="e">
        <f>SUMIFS(INDEX(Калькуляция!$T$15:$AM$266,,MATCH(AC$3,Калькуляция!$T$3:$AM$3,0)),Калькуляция!$A$15:$A$266,$A590,Калькуляция!$B$15:$B$266,$B590)</f>
        <v>#N/A</v>
      </c>
      <c r="AD590" s="493" t="e">
        <f>SUMIFS(INDEX(Калькуляция!$T$15:$AM$266,,MATCH(AD$3,Калькуляция!$T$3:$AM$3,0)),Калькуляция!$A$15:$A$266,$A590,Калькуляция!$B$15:$B$266,$B590)</f>
        <v>#N/A</v>
      </c>
      <c r="AE590" s="501" t="e">
        <f>IF(AC590=0,0,(AD590-AC590)/AC590*100)</f>
        <v>#N/A</v>
      </c>
      <c r="AF590" s="493" t="e">
        <f>SUMIFS(INDEX(Калькуляция!$T$15:$AM$266,,MATCH(AF$3,Калькуляция!$T$3:$AM$3,0)),Калькуляция!$A$15:$A$266,$A590,Калькуляция!$B$15:$B$266,$B590)</f>
        <v>#N/A</v>
      </c>
      <c r="AG590" s="493" t="e">
        <f>SUMIFS(INDEX(Калькуляция!$T$15:$AM$266,,MATCH(AG$3,Калькуляция!$T$3:$AM$3,0)),Калькуляция!$A$15:$A$266,$A590,Калькуляция!$B$15:$B$266,$B590)</f>
        <v>#N/A</v>
      </c>
      <c r="AH590" s="501" t="e">
        <f>IF(AF590=0,0,(AG590-AF590)/AF590*100)</f>
        <v>#N/A</v>
      </c>
      <c r="AI590" s="493" t="e">
        <f>SUMIFS(INDEX(Калькуляция!$T$15:$AM$266,,MATCH(AI$3,Калькуляция!$T$3:$AM$3,0)),Калькуляция!$A$15:$A$266,$A590,Калькуляция!$B$15:$B$266,$B590)</f>
        <v>#N/A</v>
      </c>
      <c r="AJ590" s="493" t="e">
        <f>SUMIFS(INDEX(Калькуляция!$T$15:$AM$266,,MATCH(AJ$3,Калькуляция!$T$3:$AM$3,0)),Калькуляция!$A$15:$A$266,$A590,Калькуляция!$B$15:$B$266,$B590)</f>
        <v>#N/A</v>
      </c>
      <c r="AK590" s="501" t="e">
        <f>IF(AI590=0,0,(AJ590-AI590)/AI590*100)</f>
        <v>#N/A</v>
      </c>
      <c r="AL590" s="493" t="e">
        <f>SUMIFS(INDEX(Калькуляция!$T$15:$AM$266,,MATCH(AL$3,Калькуляция!$T$3:$AM$3,0)),Калькуляция!$A$15:$A$266,$A590,Калькуляция!$B$15:$B$266,$B590)</f>
        <v>#N/A</v>
      </c>
      <c r="AM590" s="493" t="e">
        <f>SUMIFS(INDEX(Калькуляция!$T$15:$AM$266,,MATCH(AM$3,Калькуляция!$T$3:$AM$3,0)),Калькуляция!$A$15:$A$266,$A590,Калькуляция!$B$15:$B$266,$B590)</f>
        <v>#N/A</v>
      </c>
      <c r="AN590" s="501" t="e">
        <f>IF(AL590=0,0,(AM590-AL590)/AL590*100)</f>
        <v>#N/A</v>
      </c>
      <c r="AO590" s="493" t="e">
        <f>SUMIFS(INDEX(Калькуляция!$T$15:$AM$266,,MATCH(AO$3,Калькуляция!$T$3:$AM$3,0)),Калькуляция!$A$15:$A$266,$A590,Калькуляция!$B$15:$B$266,$B590)</f>
        <v>#N/A</v>
      </c>
      <c r="AP590" s="493" t="e">
        <f>SUMIFS(INDEX(Калькуляция!$T$15:$AM$266,,MATCH(AP$3,Калькуляция!$T$3:$AM$3,0)),Калькуляция!$A$15:$A$266,$A590,Калькуляция!$B$15:$B$266,$B590)</f>
        <v>#N/A</v>
      </c>
      <c r="AQ590" s="501" t="e">
        <f>IF(AO590=0,0,(AP590-AO590)/AO590*100)</f>
        <v>#N/A</v>
      </c>
      <c r="AR590" s="493"/>
      <c r="AS590" s="493"/>
      <c r="AT590" s="501">
        <f>IF(AR590=0,0,(AS590-AR590)/AR590*100)</f>
        <v>0</v>
      </c>
      <c r="AU590" s="493"/>
      <c r="AV590" s="493"/>
      <c r="AW590" s="501">
        <f>IF(AU590=0,0,(AV590-AU590)/AU590*100)</f>
        <v>0</v>
      </c>
      <c r="AX590" s="493"/>
      <c r="AY590" s="493"/>
      <c r="AZ590" s="501">
        <f>IF(AX590=0,0,(AY590-AX590)/AX590*100)</f>
        <v>0</v>
      </c>
      <c r="BA590" s="493"/>
      <c r="BB590" s="493"/>
      <c r="BC590" s="501">
        <f>IF(BA590=0,0,(BB590-BA590)/BA590*100)</f>
        <v>0</v>
      </c>
      <c r="BD590" s="493"/>
      <c r="BE590" s="493"/>
      <c r="BF590" s="501">
        <f>IF(BD590=0,0,(BE590-BD590)/BD590*100)</f>
        <v>0</v>
      </c>
      <c r="BG590" s="493"/>
      <c r="BH590" s="493"/>
      <c r="BI590" s="501">
        <f>IF(BG590=0,0,(BH590-BG590)/BG590*100)</f>
        <v>0</v>
      </c>
      <c r="BJ590" s="493"/>
      <c r="BK590" s="493"/>
      <c r="BL590" s="501">
        <f>IF(BJ590=0,0,(BK590-BJ590)/BJ590*100)</f>
        <v>0</v>
      </c>
      <c r="BM590" s="493"/>
      <c r="BN590" s="493"/>
      <c r="BO590" s="501">
        <f>IF(BM590=0,0,(BN590-BM590)/BM590*100)</f>
        <v>0</v>
      </c>
      <c r="BP590" s="493"/>
      <c r="BQ590" s="493"/>
      <c r="BR590" s="501">
        <f>IF(BP590=0,0,(BQ590-BP590)/BP590*100)</f>
        <v>0</v>
      </c>
      <c r="BS590" s="493"/>
      <c r="BT590" s="493"/>
      <c r="BU590" s="501">
        <f>IF(BS590=0,0,(BT590-BS590)/BS590*100)</f>
        <v>0</v>
      </c>
      <c r="BV590" s="493"/>
      <c r="BW590" s="493"/>
      <c r="BX590" s="501">
        <f>IF(BV590=0,0,(BW590-BV590)/BV590*100)</f>
        <v>0</v>
      </c>
      <c r="BY590" s="493"/>
      <c r="BZ590" s="493"/>
      <c r="CA590" s="501">
        <f>IF(BY590=0,0,(BZ590-BY590)/BY590*100)</f>
        <v>0</v>
      </c>
      <c r="CB590" s="493"/>
      <c r="CC590" s="493"/>
      <c r="CD590" s="501">
        <f>IF(CB590=0,0,(CC590-CB590)/CB590*100)</f>
        <v>0</v>
      </c>
      <c r="CE590" s="493"/>
      <c r="CF590" s="493"/>
      <c r="CG590" s="501">
        <f>IF(CE590=0,0,(CF590-CE590)/CE590*100)</f>
        <v>0</v>
      </c>
      <c r="CH590" s="493"/>
      <c r="CI590" s="493"/>
      <c r="CJ590" s="501">
        <f>IF(CH590=0,0,(CI590-CH590)/CH590*100)</f>
        <v>0</v>
      </c>
      <c r="CK590" s="493"/>
      <c r="CL590" s="493"/>
      <c r="CM590" s="501">
        <f>IF(CK590=0,0,(CL590-CK590)/CK590*100)</f>
        <v>0</v>
      </c>
      <c r="CN590" s="493"/>
      <c r="CO590" s="493"/>
      <c r="CP590" s="501">
        <f>IF(CN590=0,0,(CO590-CN590)/CN590*100)</f>
        <v>0</v>
      </c>
      <c r="CQ590" s="493"/>
      <c r="CR590" s="493"/>
      <c r="CS590" s="501">
        <f>IF(CQ590=0,0,(CR590-CQ590)/CQ590*100)</f>
        <v>0</v>
      </c>
      <c r="CT590" s="493"/>
      <c r="CU590" s="493"/>
      <c r="CV590" s="501">
        <f>IF(CT590=0,0,(CU590-CT590)/CT590*100)</f>
        <v>0</v>
      </c>
      <c r="CW590" s="493"/>
      <c r="CX590" s="493"/>
      <c r="CY590" s="501">
        <f>IF(CW590=0,0,(CX590-CW590)/CW590*100)</f>
        <v>0</v>
      </c>
      <c r="CZ590" s="493"/>
      <c r="DA590" s="493"/>
      <c r="DB590" s="501">
        <f>IF(CZ590=0,0,(DA590-CZ590)/CZ590*100)</f>
        <v>0</v>
      </c>
      <c r="DC590" s="493"/>
      <c r="DD590" s="493"/>
      <c r="DE590" s="501">
        <f>IF(DC590=0,0,(DD590-DC590)/DC590*100)</f>
        <v>0</v>
      </c>
      <c r="DF590" s="493"/>
      <c r="DG590" s="493"/>
      <c r="DH590" s="501">
        <f>IF(DF590=0,0,(DG590-DF590)/DF590*100)</f>
        <v>0</v>
      </c>
      <c r="DI590" s="493"/>
      <c r="DJ590" s="493"/>
      <c r="DK590" s="501">
        <f>IF(DI590=0,0,(DJ590-DI590)/DI590*100)</f>
        <v>0</v>
      </c>
      <c r="DL590" s="493"/>
      <c r="DM590" s="493"/>
      <c r="DN590" s="501">
        <f>IF(DL590=0,0,(DM590-DL590)/DL590*100)</f>
        <v>0</v>
      </c>
      <c r="DO590" s="493"/>
      <c r="DP590" s="493"/>
      <c r="DQ590" s="501">
        <f>IF(DO590=0,0,(DP590-DO590)/DO590*100)</f>
        <v>0</v>
      </c>
      <c r="DR590" s="493"/>
      <c r="DS590" s="493"/>
      <c r="DT590" s="501">
        <f>IF(DR590=0,0,(DS590-DR590)/DR590*100)</f>
        <v>0</v>
      </c>
      <c r="DU590" s="493"/>
      <c r="DV590" s="493"/>
      <c r="DW590" s="501">
        <f>IF(DU590=0,0,(DV590-DU590)/DU590*100)</f>
        <v>0</v>
      </c>
      <c r="DX590" s="493"/>
      <c r="DY590" s="493"/>
      <c r="DZ590" s="501">
        <f>IF(DX590=0,0,(DY590-DX590)/DX590*100)</f>
        <v>0</v>
      </c>
      <c r="EA590" s="493"/>
      <c r="EB590" s="493"/>
      <c r="EC590" s="501">
        <f>IF(EA590=0,0,(EB590-EA590)/EA590*100)</f>
        <v>0</v>
      </c>
      <c r="ED590" s="493"/>
      <c r="EE590" s="493"/>
      <c r="EF590" s="501">
        <f>IF(ED590=0,0,(EE590-ED590)/ED590*100)</f>
        <v>0</v>
      </c>
      <c r="EG590" s="493"/>
      <c r="EH590" s="493"/>
      <c r="EI590" s="501">
        <f>IF(EG590=0,0,(EH590-EG590)/EG590*100)</f>
        <v>0</v>
      </c>
      <c r="EJ590" s="493"/>
      <c r="EK590" s="493"/>
      <c r="EL590" s="501">
        <f>IF(EJ590=0,0,(EK590-EJ590)/EJ590*100)</f>
        <v>0</v>
      </c>
      <c r="EM590" s="493"/>
      <c r="EN590" s="493"/>
      <c r="EO590" s="501">
        <f>IF(EM590=0,0,(EN590-EM590)/EM590*100)</f>
        <v>0</v>
      </c>
      <c r="EP590" s="493"/>
      <c r="EQ590" s="493"/>
      <c r="ER590" s="501">
        <f>IF(EP590=0,0,(EQ590-EP590)/EP590*100)</f>
        <v>0</v>
      </c>
      <c r="ES590" s="493"/>
      <c r="ET590" s="493"/>
      <c r="EU590" s="501">
        <f>IF(ES590=0,0,(ET590-ES590)/ES590*100)</f>
        <v>0</v>
      </c>
      <c r="EV590" s="493"/>
      <c r="EW590" s="493"/>
      <c r="EX590" s="501">
        <f>IF(EV590=0,0,(EW590-EV590)/EV590*100)</f>
        <v>0</v>
      </c>
      <c r="EY590" s="493"/>
      <c r="EZ590" s="493"/>
      <c r="FA590" s="501">
        <f>IF(EY590=0,0,(EZ590-EY590)/EY590*100)</f>
        <v>0</v>
      </c>
      <c r="FB590" s="493"/>
      <c r="FC590" s="493"/>
      <c r="FD590" s="501">
        <f>IF(FB590=0,0,(FC590-FB590)/FB590*100)</f>
        <v>0</v>
      </c>
      <c r="FE590" s="493"/>
      <c r="FF590" s="493"/>
      <c r="FG590" s="501">
        <f>IF(FE590=0,0,(FF590-FE590)/FE590*100)</f>
        <v>0</v>
      </c>
    </row>
    <row r="591" spans="1:163" s="346" customFormat="1" ht="15" customHeight="1" outlineLevel="1">
      <c r="A591" s="509" t="str">
        <f t="shared" si="127"/>
        <v>1</v>
      </c>
      <c r="B591" s="104" t="s">
        <v>1178</v>
      </c>
      <c r="C591" s="509" t="s">
        <v>1407</v>
      </c>
      <c r="D591" s="509" t="s">
        <v>1606</v>
      </c>
      <c r="G591" s="509" t="b">
        <f>F582="одноставочный"</f>
        <v>1</v>
      </c>
      <c r="L591" s="347" t="s">
        <v>665</v>
      </c>
      <c r="M591" s="348" t="s">
        <v>655</v>
      </c>
      <c r="N591" s="349" t="e">
        <f>SUMIFS(INDEX(Калькуляция!$T$15:$AM$266,,MATCH(N$3,Калькуляция!$T$3:$AM$3,0)),Калькуляция!$A$15:$A$266,$A591,Калькуляция!$B$15:$B$266,$B591)</f>
        <v>#N/A</v>
      </c>
      <c r="O591" s="349" t="e">
        <f>SUMIFS(INDEX(Калькуляция!$T$15:$AM$266,,MATCH(O$3,Калькуляция!$T$3:$AM$3,0)),Калькуляция!$A$15:$A$266,$A591,Калькуляция!$B$15:$B$266,$B591)</f>
        <v>#N/A</v>
      </c>
      <c r="P591" s="350" t="e">
        <f>IF(N591=0,0,(O591-N591)/N591*100)</f>
        <v>#N/A</v>
      </c>
      <c r="Q591" s="349" t="e">
        <f>SUMIFS(INDEX(Калькуляция!$T$15:$AM$266,,MATCH(Q$3,Калькуляция!$T$3:$AM$3,0)),Калькуляция!$A$15:$A$266,$A591,Калькуляция!$B$15:$B$266,$B591)</f>
        <v>#N/A</v>
      </c>
      <c r="R591" s="349" t="e">
        <f>SUMIFS(INDEX(Калькуляция!$T$15:$AM$266,,MATCH(R$3,Калькуляция!$T$3:$AM$3,0)),Калькуляция!$A$15:$A$266,$A591,Калькуляция!$B$15:$B$266,$B591)</f>
        <v>#N/A</v>
      </c>
      <c r="S591" s="350" t="e">
        <f>IF(Q591=0,0,(R591-Q591)/Q591*100)</f>
        <v>#N/A</v>
      </c>
      <c r="T591" s="349" t="e">
        <f>SUMIFS(INDEX(Калькуляция!$T$15:$AM$266,,MATCH(T$3,Калькуляция!$T$3:$AM$3,0)),Калькуляция!$A$15:$A$266,$A591,Калькуляция!$B$15:$B$266,$B591)</f>
        <v>#N/A</v>
      </c>
      <c r="U591" s="349" t="e">
        <f>SUMIFS(INDEX(Калькуляция!$T$15:$AM$266,,MATCH(U$3,Калькуляция!$T$3:$AM$3,0)),Калькуляция!$A$15:$A$266,$A591,Калькуляция!$B$15:$B$266,$B591)</f>
        <v>#N/A</v>
      </c>
      <c r="V591" s="350" t="e">
        <f>IF(T591=0,0,(U591-T591)/T591*100)</f>
        <v>#N/A</v>
      </c>
      <c r="W591" s="349" t="e">
        <f>SUMIFS(INDEX(Калькуляция!$T$15:$AM$266,,MATCH(W$3,Калькуляция!$T$3:$AM$3,0)),Калькуляция!$A$15:$A$266,$A591,Калькуляция!$B$15:$B$266,$B591)</f>
        <v>#N/A</v>
      </c>
      <c r="X591" s="349" t="e">
        <f>SUMIFS(INDEX(Калькуляция!$T$15:$AM$266,,MATCH(X$3,Калькуляция!$T$3:$AM$3,0)),Калькуляция!$A$15:$A$266,$A591,Калькуляция!$B$15:$B$266,$B591)</f>
        <v>#N/A</v>
      </c>
      <c r="Y591" s="350" t="e">
        <f>IF(W591=0,0,(X591-W591)/W591*100)</f>
        <v>#N/A</v>
      </c>
      <c r="Z591" s="349" t="e">
        <f>SUMIFS(INDEX(Калькуляция!$T$15:$AM$266,,MATCH(Z$3,Калькуляция!$T$3:$AM$3,0)),Калькуляция!$A$15:$A$266,$A591,Калькуляция!$B$15:$B$266,$B591)</f>
        <v>#N/A</v>
      </c>
      <c r="AA591" s="349" t="e">
        <f>SUMIFS(INDEX(Калькуляция!$T$15:$AM$266,,MATCH(AA$3,Калькуляция!$T$3:$AM$3,0)),Калькуляция!$A$15:$A$266,$A591,Калькуляция!$B$15:$B$266,$B591)</f>
        <v>#N/A</v>
      </c>
      <c r="AB591" s="350" t="e">
        <f>IF(Z591=0,0,(AA591-Z591)/Z591*100)</f>
        <v>#N/A</v>
      </c>
      <c r="AC591" s="349" t="e">
        <f>SUMIFS(INDEX(Калькуляция!$T$15:$AM$266,,MATCH(AC$3,Калькуляция!$T$3:$AM$3,0)),Калькуляция!$A$15:$A$266,$A591,Калькуляция!$B$15:$B$266,$B591)</f>
        <v>#N/A</v>
      </c>
      <c r="AD591" s="349" t="e">
        <f>SUMIFS(INDEX(Калькуляция!$T$15:$AM$266,,MATCH(AD$3,Калькуляция!$T$3:$AM$3,0)),Калькуляция!$A$15:$A$266,$A591,Калькуляция!$B$15:$B$266,$B591)</f>
        <v>#N/A</v>
      </c>
      <c r="AE591" s="350" t="e">
        <f>IF(AC591=0,0,(AD591-AC591)/AC591*100)</f>
        <v>#N/A</v>
      </c>
      <c r="AF591" s="349" t="e">
        <f>SUMIFS(INDEX(Калькуляция!$T$15:$AM$266,,MATCH(AF$3,Калькуляция!$T$3:$AM$3,0)),Калькуляция!$A$15:$A$266,$A591,Калькуляция!$B$15:$B$266,$B591)</f>
        <v>#N/A</v>
      </c>
      <c r="AG591" s="349" t="e">
        <f>SUMIFS(INDEX(Калькуляция!$T$15:$AM$266,,MATCH(AG$3,Калькуляция!$T$3:$AM$3,0)),Калькуляция!$A$15:$A$266,$A591,Калькуляция!$B$15:$B$266,$B591)</f>
        <v>#N/A</v>
      </c>
      <c r="AH591" s="350" t="e">
        <f>IF(AF591=0,0,(AG591-AF591)/AF591*100)</f>
        <v>#N/A</v>
      </c>
      <c r="AI591" s="349" t="e">
        <f>SUMIFS(INDEX(Калькуляция!$T$15:$AM$266,,MATCH(AI$3,Калькуляция!$T$3:$AM$3,0)),Калькуляция!$A$15:$A$266,$A591,Калькуляция!$B$15:$B$266,$B591)</f>
        <v>#N/A</v>
      </c>
      <c r="AJ591" s="349" t="e">
        <f>SUMIFS(INDEX(Калькуляция!$T$15:$AM$266,,MATCH(AJ$3,Калькуляция!$T$3:$AM$3,0)),Калькуляция!$A$15:$A$266,$A591,Калькуляция!$B$15:$B$266,$B591)</f>
        <v>#N/A</v>
      </c>
      <c r="AK591" s="350" t="e">
        <f>IF(AI591=0,0,(AJ591-AI591)/AI591*100)</f>
        <v>#N/A</v>
      </c>
      <c r="AL591" s="349" t="e">
        <f>SUMIFS(INDEX(Калькуляция!$T$15:$AM$266,,MATCH(AL$3,Калькуляция!$T$3:$AM$3,0)),Калькуляция!$A$15:$A$266,$A591,Калькуляция!$B$15:$B$266,$B591)</f>
        <v>#N/A</v>
      </c>
      <c r="AM591" s="349" t="e">
        <f>SUMIFS(INDEX(Калькуляция!$T$15:$AM$266,,MATCH(AM$3,Калькуляция!$T$3:$AM$3,0)),Калькуляция!$A$15:$A$266,$A591,Калькуляция!$B$15:$B$266,$B591)</f>
        <v>#N/A</v>
      </c>
      <c r="AN591" s="350" t="e">
        <f>IF(AL591=0,0,(AM591-AL591)/AL591*100)</f>
        <v>#N/A</v>
      </c>
      <c r="AO591" s="349" t="e">
        <f>SUMIFS(INDEX(Калькуляция!$T$15:$AM$266,,MATCH(AO$3,Калькуляция!$T$3:$AM$3,0)),Калькуляция!$A$15:$A$266,$A591,Калькуляция!$B$15:$B$266,$B591)</f>
        <v>#N/A</v>
      </c>
      <c r="AP591" s="349" t="e">
        <f>SUMIFS(INDEX(Калькуляция!$T$15:$AM$266,,MATCH(AP$3,Калькуляция!$T$3:$AM$3,0)),Калькуляция!$A$15:$A$266,$A591,Калькуляция!$B$15:$B$266,$B591)</f>
        <v>#N/A</v>
      </c>
      <c r="AQ591" s="350" t="e">
        <f>IF(AO591=0,0,(AP591-AO591)/AO591*100)</f>
        <v>#N/A</v>
      </c>
      <c r="AR591" s="349"/>
      <c r="AS591" s="349"/>
      <c r="AT591" s="350">
        <f>IF(AR591=0,0,(AS591-AR591)/AR591*100)</f>
        <v>0</v>
      </c>
      <c r="AU591" s="349"/>
      <c r="AV591" s="349"/>
      <c r="AW591" s="350">
        <f>IF(AU591=0,0,(AV591-AU591)/AU591*100)</f>
        <v>0</v>
      </c>
      <c r="AX591" s="349"/>
      <c r="AY591" s="349"/>
      <c r="AZ591" s="350">
        <f>IF(AX591=0,0,(AY591-AX591)/AX591*100)</f>
        <v>0</v>
      </c>
      <c r="BA591" s="349"/>
      <c r="BB591" s="349"/>
      <c r="BC591" s="350">
        <f>IF(BA591=0,0,(BB591-BA591)/BA591*100)</f>
        <v>0</v>
      </c>
      <c r="BD591" s="349"/>
      <c r="BE591" s="349"/>
      <c r="BF591" s="350">
        <f>IF(BD591=0,0,(BE591-BD591)/BD591*100)</f>
        <v>0</v>
      </c>
      <c r="BG591" s="349"/>
      <c r="BH591" s="349"/>
      <c r="BI591" s="350">
        <f>IF(BG591=0,0,(BH591-BG591)/BG591*100)</f>
        <v>0</v>
      </c>
      <c r="BJ591" s="349"/>
      <c r="BK591" s="349"/>
      <c r="BL591" s="350">
        <f>IF(BJ591=0,0,(BK591-BJ591)/BJ591*100)</f>
        <v>0</v>
      </c>
      <c r="BM591" s="349"/>
      <c r="BN591" s="349"/>
      <c r="BO591" s="350">
        <f>IF(BM591=0,0,(BN591-BM591)/BM591*100)</f>
        <v>0</v>
      </c>
      <c r="BP591" s="349"/>
      <c r="BQ591" s="349"/>
      <c r="BR591" s="350">
        <f>IF(BP591=0,0,(BQ591-BP591)/BP591*100)</f>
        <v>0</v>
      </c>
      <c r="BS591" s="349"/>
      <c r="BT591" s="349"/>
      <c r="BU591" s="350">
        <f>IF(BS591=0,0,(BT591-BS591)/BS591*100)</f>
        <v>0</v>
      </c>
      <c r="BV591" s="349"/>
      <c r="BW591" s="349"/>
      <c r="BX591" s="350">
        <f>IF(BV591=0,0,(BW591-BV591)/BV591*100)</f>
        <v>0</v>
      </c>
      <c r="BY591" s="349"/>
      <c r="BZ591" s="349"/>
      <c r="CA591" s="350">
        <f>IF(BY591=0,0,(BZ591-BY591)/BY591*100)</f>
        <v>0</v>
      </c>
      <c r="CB591" s="349"/>
      <c r="CC591" s="349"/>
      <c r="CD591" s="350">
        <f>IF(CB591=0,0,(CC591-CB591)/CB591*100)</f>
        <v>0</v>
      </c>
      <c r="CE591" s="349"/>
      <c r="CF591" s="349"/>
      <c r="CG591" s="350">
        <f>IF(CE591=0,0,(CF591-CE591)/CE591*100)</f>
        <v>0</v>
      </c>
      <c r="CH591" s="349"/>
      <c r="CI591" s="349"/>
      <c r="CJ591" s="350">
        <f>IF(CH591=0,0,(CI591-CH591)/CH591*100)</f>
        <v>0</v>
      </c>
      <c r="CK591" s="349"/>
      <c r="CL591" s="349"/>
      <c r="CM591" s="350">
        <f>IF(CK591=0,0,(CL591-CK591)/CK591*100)</f>
        <v>0</v>
      </c>
      <c r="CN591" s="349"/>
      <c r="CO591" s="349"/>
      <c r="CP591" s="350">
        <f>IF(CN591=0,0,(CO591-CN591)/CN591*100)</f>
        <v>0</v>
      </c>
      <c r="CQ591" s="349"/>
      <c r="CR591" s="349"/>
      <c r="CS591" s="350">
        <f>IF(CQ591=0,0,(CR591-CQ591)/CQ591*100)</f>
        <v>0</v>
      </c>
      <c r="CT591" s="349"/>
      <c r="CU591" s="349"/>
      <c r="CV591" s="350">
        <f>IF(CT591=0,0,(CU591-CT591)/CT591*100)</f>
        <v>0</v>
      </c>
      <c r="CW591" s="349"/>
      <c r="CX591" s="349"/>
      <c r="CY591" s="350">
        <f>IF(CW591=0,0,(CX591-CW591)/CW591*100)</f>
        <v>0</v>
      </c>
      <c r="CZ591" s="349"/>
      <c r="DA591" s="349"/>
      <c r="DB591" s="350">
        <f>IF(CZ591=0,0,(DA591-CZ591)/CZ591*100)</f>
        <v>0</v>
      </c>
      <c r="DC591" s="349"/>
      <c r="DD591" s="349"/>
      <c r="DE591" s="350">
        <f>IF(DC591=0,0,(DD591-DC591)/DC591*100)</f>
        <v>0</v>
      </c>
      <c r="DF591" s="349"/>
      <c r="DG591" s="349"/>
      <c r="DH591" s="350">
        <f>IF(DF591=0,0,(DG591-DF591)/DF591*100)</f>
        <v>0</v>
      </c>
      <c r="DI591" s="349"/>
      <c r="DJ591" s="349"/>
      <c r="DK591" s="350">
        <f>IF(DI591=0,0,(DJ591-DI591)/DI591*100)</f>
        <v>0</v>
      </c>
      <c r="DL591" s="349"/>
      <c r="DM591" s="349"/>
      <c r="DN591" s="350">
        <f>IF(DL591=0,0,(DM591-DL591)/DL591*100)</f>
        <v>0</v>
      </c>
      <c r="DO591" s="349"/>
      <c r="DP591" s="349"/>
      <c r="DQ591" s="350">
        <f>IF(DO591=0,0,(DP591-DO591)/DO591*100)</f>
        <v>0</v>
      </c>
      <c r="DR591" s="349"/>
      <c r="DS591" s="349"/>
      <c r="DT591" s="350">
        <f>IF(DR591=0,0,(DS591-DR591)/DR591*100)</f>
        <v>0</v>
      </c>
      <c r="DU591" s="349"/>
      <c r="DV591" s="349"/>
      <c r="DW591" s="350">
        <f>IF(DU591=0,0,(DV591-DU591)/DU591*100)</f>
        <v>0</v>
      </c>
      <c r="DX591" s="349"/>
      <c r="DY591" s="349"/>
      <c r="DZ591" s="350">
        <f>IF(DX591=0,0,(DY591-DX591)/DX591*100)</f>
        <v>0</v>
      </c>
      <c r="EA591" s="349"/>
      <c r="EB591" s="349"/>
      <c r="EC591" s="350">
        <f>IF(EA591=0,0,(EB591-EA591)/EA591*100)</f>
        <v>0</v>
      </c>
      <c r="ED591" s="349"/>
      <c r="EE591" s="349"/>
      <c r="EF591" s="350">
        <f>IF(ED591=0,0,(EE591-ED591)/ED591*100)</f>
        <v>0</v>
      </c>
      <c r="EG591" s="349"/>
      <c r="EH591" s="349"/>
      <c r="EI591" s="350">
        <f>IF(EG591=0,0,(EH591-EG591)/EG591*100)</f>
        <v>0</v>
      </c>
      <c r="EJ591" s="349"/>
      <c r="EK591" s="349"/>
      <c r="EL591" s="350">
        <f>IF(EJ591=0,0,(EK591-EJ591)/EJ591*100)</f>
        <v>0</v>
      </c>
      <c r="EM591" s="349"/>
      <c r="EN591" s="349"/>
      <c r="EO591" s="350">
        <f>IF(EM591=0,0,(EN591-EM591)/EM591*100)</f>
        <v>0</v>
      </c>
      <c r="EP591" s="349"/>
      <c r="EQ591" s="349"/>
      <c r="ER591" s="350">
        <f>IF(EP591=0,0,(EQ591-EP591)/EP591*100)</f>
        <v>0</v>
      </c>
      <c r="ES591" s="349"/>
      <c r="ET591" s="349"/>
      <c r="EU591" s="350">
        <f>IF(ES591=0,0,(ET591-ES591)/ES591*100)</f>
        <v>0</v>
      </c>
      <c r="EV591" s="349"/>
      <c r="EW591" s="349"/>
      <c r="EX591" s="350">
        <f>IF(EV591=0,0,(EW591-EV591)/EV591*100)</f>
        <v>0</v>
      </c>
      <c r="EY591" s="349"/>
      <c r="EZ591" s="349"/>
      <c r="FA591" s="350">
        <f>IF(EY591=0,0,(EZ591-EY591)/EY591*100)</f>
        <v>0</v>
      </c>
      <c r="FB591" s="349"/>
      <c r="FC591" s="349"/>
      <c r="FD591" s="350">
        <f>IF(FB591=0,0,(FC591-FB591)/FB591*100)</f>
        <v>0</v>
      </c>
      <c r="FE591" s="349"/>
      <c r="FF591" s="349"/>
      <c r="FG591" s="350">
        <f>IF(FE591=0,0,(FF591-FE591)/FE591*100)</f>
        <v>0</v>
      </c>
    </row>
    <row r="592" spans="1:163" s="346" customFormat="1" ht="15" customHeight="1" outlineLevel="1">
      <c r="A592" s="509" t="str">
        <f t="shared" si="127"/>
        <v>1</v>
      </c>
      <c r="B592" s="104" t="s">
        <v>1177</v>
      </c>
      <c r="C592" s="509" t="s">
        <v>1407</v>
      </c>
      <c r="D592" s="509" t="s">
        <v>1607</v>
      </c>
      <c r="G592" s="509" t="b">
        <f>F582="одноставочный"</f>
        <v>1</v>
      </c>
      <c r="L592" s="347" t="s">
        <v>666</v>
      </c>
      <c r="M592" s="348" t="s">
        <v>655</v>
      </c>
      <c r="N592" s="349" t="e">
        <f>SUMIFS(INDEX(Калькуляция!$T$15:$AM$266,,MATCH(N$3,Калькуляция!$T$3:$AM$3,0)),Калькуляция!$A$15:$A$266,$A592,Калькуляция!$B$15:$B$266,$B592)</f>
        <v>#N/A</v>
      </c>
      <c r="O592" s="349" t="e">
        <f>SUMIFS(INDEX(Калькуляция!$T$15:$AM$266,,MATCH(O$3,Калькуляция!$T$3:$AM$3,0)),Калькуляция!$A$15:$A$266,$A592,Калькуляция!$B$15:$B$266,$B592)</f>
        <v>#N/A</v>
      </c>
      <c r="P592" s="350" t="e">
        <f>IF(N592=0,0,(O592-N592)/N592*100)</f>
        <v>#N/A</v>
      </c>
      <c r="Q592" s="349" t="e">
        <f>SUMIFS(INDEX(Калькуляция!$T$15:$AM$266,,MATCH(Q$3,Калькуляция!$T$3:$AM$3,0)),Калькуляция!$A$15:$A$266,$A592,Калькуляция!$B$15:$B$266,$B592)</f>
        <v>#N/A</v>
      </c>
      <c r="R592" s="349" t="e">
        <f>SUMIFS(INDEX(Калькуляция!$T$15:$AM$266,,MATCH(R$3,Калькуляция!$T$3:$AM$3,0)),Калькуляция!$A$15:$A$266,$A592,Калькуляция!$B$15:$B$266,$B592)</f>
        <v>#N/A</v>
      </c>
      <c r="S592" s="350" t="e">
        <f>IF(Q592=0,0,(R592-Q592)/Q592*100)</f>
        <v>#N/A</v>
      </c>
      <c r="T592" s="349" t="e">
        <f>SUMIFS(INDEX(Калькуляция!$T$15:$AM$266,,MATCH(T$3,Калькуляция!$T$3:$AM$3,0)),Калькуляция!$A$15:$A$266,$A592,Калькуляция!$B$15:$B$266,$B592)</f>
        <v>#N/A</v>
      </c>
      <c r="U592" s="349" t="e">
        <f>SUMIFS(INDEX(Калькуляция!$T$15:$AM$266,,MATCH(U$3,Калькуляция!$T$3:$AM$3,0)),Калькуляция!$A$15:$A$266,$A592,Калькуляция!$B$15:$B$266,$B592)</f>
        <v>#N/A</v>
      </c>
      <c r="V592" s="350" t="e">
        <f>IF(T592=0,0,(U592-T592)/T592*100)</f>
        <v>#N/A</v>
      </c>
      <c r="W592" s="349" t="e">
        <f>SUMIFS(INDEX(Калькуляция!$T$15:$AM$266,,MATCH(W$3,Калькуляция!$T$3:$AM$3,0)),Калькуляция!$A$15:$A$266,$A592,Калькуляция!$B$15:$B$266,$B592)</f>
        <v>#N/A</v>
      </c>
      <c r="X592" s="349" t="e">
        <f>SUMIFS(INDEX(Калькуляция!$T$15:$AM$266,,MATCH(X$3,Калькуляция!$T$3:$AM$3,0)),Калькуляция!$A$15:$A$266,$A592,Калькуляция!$B$15:$B$266,$B592)</f>
        <v>#N/A</v>
      </c>
      <c r="Y592" s="350" t="e">
        <f>IF(W592=0,0,(X592-W592)/W592*100)</f>
        <v>#N/A</v>
      </c>
      <c r="Z592" s="349" t="e">
        <f>SUMIFS(INDEX(Калькуляция!$T$15:$AM$266,,MATCH(Z$3,Калькуляция!$T$3:$AM$3,0)),Калькуляция!$A$15:$A$266,$A592,Калькуляция!$B$15:$B$266,$B592)</f>
        <v>#N/A</v>
      </c>
      <c r="AA592" s="349" t="e">
        <f>SUMIFS(INDEX(Калькуляция!$T$15:$AM$266,,MATCH(AA$3,Калькуляция!$T$3:$AM$3,0)),Калькуляция!$A$15:$A$266,$A592,Калькуляция!$B$15:$B$266,$B592)</f>
        <v>#N/A</v>
      </c>
      <c r="AB592" s="350" t="e">
        <f>IF(Z592=0,0,(AA592-Z592)/Z592*100)</f>
        <v>#N/A</v>
      </c>
      <c r="AC592" s="349" t="e">
        <f>SUMIFS(INDEX(Калькуляция!$T$15:$AM$266,,MATCH(AC$3,Калькуляция!$T$3:$AM$3,0)),Калькуляция!$A$15:$A$266,$A592,Калькуляция!$B$15:$B$266,$B592)</f>
        <v>#N/A</v>
      </c>
      <c r="AD592" s="349" t="e">
        <f>SUMIFS(INDEX(Калькуляция!$T$15:$AM$266,,MATCH(AD$3,Калькуляция!$T$3:$AM$3,0)),Калькуляция!$A$15:$A$266,$A592,Калькуляция!$B$15:$B$266,$B592)</f>
        <v>#N/A</v>
      </c>
      <c r="AE592" s="350" t="e">
        <f>IF(AC592=0,0,(AD592-AC592)/AC592*100)</f>
        <v>#N/A</v>
      </c>
      <c r="AF592" s="349" t="e">
        <f>SUMIFS(INDEX(Калькуляция!$T$15:$AM$266,,MATCH(AF$3,Калькуляция!$T$3:$AM$3,0)),Калькуляция!$A$15:$A$266,$A592,Калькуляция!$B$15:$B$266,$B592)</f>
        <v>#N/A</v>
      </c>
      <c r="AG592" s="349" t="e">
        <f>SUMIFS(INDEX(Калькуляция!$T$15:$AM$266,,MATCH(AG$3,Калькуляция!$T$3:$AM$3,0)),Калькуляция!$A$15:$A$266,$A592,Калькуляция!$B$15:$B$266,$B592)</f>
        <v>#N/A</v>
      </c>
      <c r="AH592" s="350" t="e">
        <f>IF(AF592=0,0,(AG592-AF592)/AF592*100)</f>
        <v>#N/A</v>
      </c>
      <c r="AI592" s="349" t="e">
        <f>SUMIFS(INDEX(Калькуляция!$T$15:$AM$266,,MATCH(AI$3,Калькуляция!$T$3:$AM$3,0)),Калькуляция!$A$15:$A$266,$A592,Калькуляция!$B$15:$B$266,$B592)</f>
        <v>#N/A</v>
      </c>
      <c r="AJ592" s="349" t="e">
        <f>SUMIFS(INDEX(Калькуляция!$T$15:$AM$266,,MATCH(AJ$3,Калькуляция!$T$3:$AM$3,0)),Калькуляция!$A$15:$A$266,$A592,Калькуляция!$B$15:$B$266,$B592)</f>
        <v>#N/A</v>
      </c>
      <c r="AK592" s="350" t="e">
        <f>IF(AI592=0,0,(AJ592-AI592)/AI592*100)</f>
        <v>#N/A</v>
      </c>
      <c r="AL592" s="349" t="e">
        <f>SUMIFS(INDEX(Калькуляция!$T$15:$AM$266,,MATCH(AL$3,Калькуляция!$T$3:$AM$3,0)),Калькуляция!$A$15:$A$266,$A592,Калькуляция!$B$15:$B$266,$B592)</f>
        <v>#N/A</v>
      </c>
      <c r="AM592" s="349" t="e">
        <f>SUMIFS(INDEX(Калькуляция!$T$15:$AM$266,,MATCH(AM$3,Калькуляция!$T$3:$AM$3,0)),Калькуляция!$A$15:$A$266,$A592,Калькуляция!$B$15:$B$266,$B592)</f>
        <v>#N/A</v>
      </c>
      <c r="AN592" s="350" t="e">
        <f>IF(AL592=0,0,(AM592-AL592)/AL592*100)</f>
        <v>#N/A</v>
      </c>
      <c r="AO592" s="349" t="e">
        <f>SUMIFS(INDEX(Калькуляция!$T$15:$AM$266,,MATCH(AO$3,Калькуляция!$T$3:$AM$3,0)),Калькуляция!$A$15:$A$266,$A592,Калькуляция!$B$15:$B$266,$B592)</f>
        <v>#N/A</v>
      </c>
      <c r="AP592" s="349" t="e">
        <f>SUMIFS(INDEX(Калькуляция!$T$15:$AM$266,,MATCH(AP$3,Калькуляция!$T$3:$AM$3,0)),Калькуляция!$A$15:$A$266,$A592,Калькуляция!$B$15:$B$266,$B592)</f>
        <v>#N/A</v>
      </c>
      <c r="AQ592" s="350" t="e">
        <f>IF(AO592=0,0,(AP592-AO592)/AO592*100)</f>
        <v>#N/A</v>
      </c>
      <c r="AR592" s="349"/>
      <c r="AS592" s="349"/>
      <c r="AT592" s="350">
        <f>IF(AR592=0,0,(AS592-AR592)/AR592*100)</f>
        <v>0</v>
      </c>
      <c r="AU592" s="349"/>
      <c r="AV592" s="349"/>
      <c r="AW592" s="350">
        <f>IF(AU592=0,0,(AV592-AU592)/AU592*100)</f>
        <v>0</v>
      </c>
      <c r="AX592" s="349"/>
      <c r="AY592" s="349"/>
      <c r="AZ592" s="350">
        <f>IF(AX592=0,0,(AY592-AX592)/AX592*100)</f>
        <v>0</v>
      </c>
      <c r="BA592" s="349"/>
      <c r="BB592" s="349"/>
      <c r="BC592" s="350">
        <f>IF(BA592=0,0,(BB592-BA592)/BA592*100)</f>
        <v>0</v>
      </c>
      <c r="BD592" s="349"/>
      <c r="BE592" s="349"/>
      <c r="BF592" s="350">
        <f>IF(BD592=0,0,(BE592-BD592)/BD592*100)</f>
        <v>0</v>
      </c>
      <c r="BG592" s="349"/>
      <c r="BH592" s="349"/>
      <c r="BI592" s="350">
        <f>IF(BG592=0,0,(BH592-BG592)/BG592*100)</f>
        <v>0</v>
      </c>
      <c r="BJ592" s="349"/>
      <c r="BK592" s="349"/>
      <c r="BL592" s="350">
        <f>IF(BJ592=0,0,(BK592-BJ592)/BJ592*100)</f>
        <v>0</v>
      </c>
      <c r="BM592" s="349"/>
      <c r="BN592" s="349"/>
      <c r="BO592" s="350">
        <f>IF(BM592=0,0,(BN592-BM592)/BM592*100)</f>
        <v>0</v>
      </c>
      <c r="BP592" s="349"/>
      <c r="BQ592" s="349"/>
      <c r="BR592" s="350">
        <f>IF(BP592=0,0,(BQ592-BP592)/BP592*100)</f>
        <v>0</v>
      </c>
      <c r="BS592" s="349"/>
      <c r="BT592" s="349"/>
      <c r="BU592" s="350">
        <f>IF(BS592=0,0,(BT592-BS592)/BS592*100)</f>
        <v>0</v>
      </c>
      <c r="BV592" s="349"/>
      <c r="BW592" s="349"/>
      <c r="BX592" s="350">
        <f>IF(BV592=0,0,(BW592-BV592)/BV592*100)</f>
        <v>0</v>
      </c>
      <c r="BY592" s="349"/>
      <c r="BZ592" s="349"/>
      <c r="CA592" s="350">
        <f>IF(BY592=0,0,(BZ592-BY592)/BY592*100)</f>
        <v>0</v>
      </c>
      <c r="CB592" s="349"/>
      <c r="CC592" s="349"/>
      <c r="CD592" s="350">
        <f>IF(CB592=0,0,(CC592-CB592)/CB592*100)</f>
        <v>0</v>
      </c>
      <c r="CE592" s="349"/>
      <c r="CF592" s="349"/>
      <c r="CG592" s="350">
        <f>IF(CE592=0,0,(CF592-CE592)/CE592*100)</f>
        <v>0</v>
      </c>
      <c r="CH592" s="349"/>
      <c r="CI592" s="349"/>
      <c r="CJ592" s="350">
        <f>IF(CH592=0,0,(CI592-CH592)/CH592*100)</f>
        <v>0</v>
      </c>
      <c r="CK592" s="349"/>
      <c r="CL592" s="349"/>
      <c r="CM592" s="350">
        <f>IF(CK592=0,0,(CL592-CK592)/CK592*100)</f>
        <v>0</v>
      </c>
      <c r="CN592" s="349"/>
      <c r="CO592" s="349"/>
      <c r="CP592" s="350">
        <f>IF(CN592=0,0,(CO592-CN592)/CN592*100)</f>
        <v>0</v>
      </c>
      <c r="CQ592" s="349"/>
      <c r="CR592" s="349"/>
      <c r="CS592" s="350">
        <f>IF(CQ592=0,0,(CR592-CQ592)/CQ592*100)</f>
        <v>0</v>
      </c>
      <c r="CT592" s="349"/>
      <c r="CU592" s="349"/>
      <c r="CV592" s="350">
        <f>IF(CT592=0,0,(CU592-CT592)/CT592*100)</f>
        <v>0</v>
      </c>
      <c r="CW592" s="349"/>
      <c r="CX592" s="349"/>
      <c r="CY592" s="350">
        <f>IF(CW592=0,0,(CX592-CW592)/CW592*100)</f>
        <v>0</v>
      </c>
      <c r="CZ592" s="349"/>
      <c r="DA592" s="349"/>
      <c r="DB592" s="350">
        <f>IF(CZ592=0,0,(DA592-CZ592)/CZ592*100)</f>
        <v>0</v>
      </c>
      <c r="DC592" s="349"/>
      <c r="DD592" s="349"/>
      <c r="DE592" s="350">
        <f>IF(DC592=0,0,(DD592-DC592)/DC592*100)</f>
        <v>0</v>
      </c>
      <c r="DF592" s="349"/>
      <c r="DG592" s="349"/>
      <c r="DH592" s="350">
        <f>IF(DF592=0,0,(DG592-DF592)/DF592*100)</f>
        <v>0</v>
      </c>
      <c r="DI592" s="349"/>
      <c r="DJ592" s="349"/>
      <c r="DK592" s="350">
        <f>IF(DI592=0,0,(DJ592-DI592)/DI592*100)</f>
        <v>0</v>
      </c>
      <c r="DL592" s="349"/>
      <c r="DM592" s="349"/>
      <c r="DN592" s="350">
        <f>IF(DL592=0,0,(DM592-DL592)/DL592*100)</f>
        <v>0</v>
      </c>
      <c r="DO592" s="349"/>
      <c r="DP592" s="349"/>
      <c r="DQ592" s="350">
        <f>IF(DO592=0,0,(DP592-DO592)/DO592*100)</f>
        <v>0</v>
      </c>
      <c r="DR592" s="349"/>
      <c r="DS592" s="349"/>
      <c r="DT592" s="350">
        <f>IF(DR592=0,0,(DS592-DR592)/DR592*100)</f>
        <v>0</v>
      </c>
      <c r="DU592" s="349"/>
      <c r="DV592" s="349"/>
      <c r="DW592" s="350">
        <f>IF(DU592=0,0,(DV592-DU592)/DU592*100)</f>
        <v>0</v>
      </c>
      <c r="DX592" s="349"/>
      <c r="DY592" s="349"/>
      <c r="DZ592" s="350">
        <f>IF(DX592=0,0,(DY592-DX592)/DX592*100)</f>
        <v>0</v>
      </c>
      <c r="EA592" s="349"/>
      <c r="EB592" s="349"/>
      <c r="EC592" s="350">
        <f>IF(EA592=0,0,(EB592-EA592)/EA592*100)</f>
        <v>0</v>
      </c>
      <c r="ED592" s="349"/>
      <c r="EE592" s="349"/>
      <c r="EF592" s="350">
        <f>IF(ED592=0,0,(EE592-ED592)/ED592*100)</f>
        <v>0</v>
      </c>
      <c r="EG592" s="349"/>
      <c r="EH592" s="349"/>
      <c r="EI592" s="350">
        <f>IF(EG592=0,0,(EH592-EG592)/EG592*100)</f>
        <v>0</v>
      </c>
      <c r="EJ592" s="349"/>
      <c r="EK592" s="349"/>
      <c r="EL592" s="350">
        <f>IF(EJ592=0,0,(EK592-EJ592)/EJ592*100)</f>
        <v>0</v>
      </c>
      <c r="EM592" s="349"/>
      <c r="EN592" s="349"/>
      <c r="EO592" s="350">
        <f>IF(EM592=0,0,(EN592-EM592)/EM592*100)</f>
        <v>0</v>
      </c>
      <c r="EP592" s="349"/>
      <c r="EQ592" s="349"/>
      <c r="ER592" s="350">
        <f>IF(EP592=0,0,(EQ592-EP592)/EP592*100)</f>
        <v>0</v>
      </c>
      <c r="ES592" s="349"/>
      <c r="ET592" s="349"/>
      <c r="EU592" s="350">
        <f>IF(ES592=0,0,(ET592-ES592)/ES592*100)</f>
        <v>0</v>
      </c>
      <c r="EV592" s="349"/>
      <c r="EW592" s="349"/>
      <c r="EX592" s="350">
        <f>IF(EV592=0,0,(EW592-EV592)/EV592*100)</f>
        <v>0</v>
      </c>
      <c r="EY592" s="349"/>
      <c r="EZ592" s="349"/>
      <c r="FA592" s="350">
        <f>IF(EY592=0,0,(EZ592-EY592)/EY592*100)</f>
        <v>0</v>
      </c>
      <c r="FB592" s="349"/>
      <c r="FC592" s="349"/>
      <c r="FD592" s="350">
        <f>IF(FB592=0,0,(FC592-FB592)/FB592*100)</f>
        <v>0</v>
      </c>
      <c r="FE592" s="349"/>
      <c r="FF592" s="349"/>
      <c r="FG592" s="350">
        <f>IF(FE592=0,0,(FF592-FE592)/FE592*100)</f>
        <v>0</v>
      </c>
    </row>
    <row r="593" spans="1:163" s="509" customFormat="1" ht="15" customHeight="1" outlineLevel="1">
      <c r="A593" s="509" t="str">
        <f t="shared" si="127"/>
        <v>1</v>
      </c>
      <c r="B593" s="104"/>
      <c r="C593" s="509" t="s">
        <v>1408</v>
      </c>
      <c r="D593" s="509" t="s">
        <v>1608</v>
      </c>
      <c r="G593" s="509" t="b">
        <f>F582="одноставочный"</f>
        <v>1</v>
      </c>
      <c r="L593" s="351" t="s">
        <v>663</v>
      </c>
      <c r="M593" s="499" t="s">
        <v>137</v>
      </c>
      <c r="N593" s="352" t="e">
        <f>IF(N591=0,0,N592/N591)*100</f>
        <v>#N/A</v>
      </c>
      <c r="O593" s="352" t="e">
        <f>IF(O591=0,0,O592/O591)*100</f>
        <v>#N/A</v>
      </c>
      <c r="P593" s="353"/>
      <c r="Q593" s="352" t="e">
        <f>IF(Q591=0,0,Q592/Q591)*100</f>
        <v>#N/A</v>
      </c>
      <c r="R593" s="352" t="e">
        <f>IF(R591=0,0,R592/R591)*100</f>
        <v>#N/A</v>
      </c>
      <c r="S593" s="353"/>
      <c r="T593" s="352" t="e">
        <f>IF(T591=0,0,T592/T591)*100</f>
        <v>#N/A</v>
      </c>
      <c r="U593" s="352" t="e">
        <f>IF(U591=0,0,U592/U591)*100</f>
        <v>#N/A</v>
      </c>
      <c r="V593" s="353"/>
      <c r="W593" s="352" t="e">
        <f>IF(W591=0,0,W592/W591)*100</f>
        <v>#N/A</v>
      </c>
      <c r="X593" s="352" t="e">
        <f>IF(X591=0,0,X592/X591)*100</f>
        <v>#N/A</v>
      </c>
      <c r="Y593" s="353"/>
      <c r="Z593" s="352" t="e">
        <f>IF(Z591=0,0,Z592/Z591)*100</f>
        <v>#N/A</v>
      </c>
      <c r="AA593" s="352" t="e">
        <f>IF(AA591=0,0,AA592/AA591)*100</f>
        <v>#N/A</v>
      </c>
      <c r="AB593" s="353"/>
      <c r="AC593" s="352" t="e">
        <f>IF(AC591=0,0,AC592/AC591)*100</f>
        <v>#N/A</v>
      </c>
      <c r="AD593" s="352" t="e">
        <f>IF(AD591=0,0,AD592/AD591)*100</f>
        <v>#N/A</v>
      </c>
      <c r="AE593" s="353"/>
      <c r="AF593" s="352" t="e">
        <f>IF(AF591=0,0,AF592/AF591)*100</f>
        <v>#N/A</v>
      </c>
      <c r="AG593" s="352" t="e">
        <f>IF(AG591=0,0,AG592/AG591)*100</f>
        <v>#N/A</v>
      </c>
      <c r="AH593" s="353"/>
      <c r="AI593" s="352" t="e">
        <f>IF(AI591=0,0,AI592/AI591)*100</f>
        <v>#N/A</v>
      </c>
      <c r="AJ593" s="352" t="e">
        <f>IF(AJ591=0,0,AJ592/AJ591)*100</f>
        <v>#N/A</v>
      </c>
      <c r="AK593" s="353"/>
      <c r="AL593" s="352" t="e">
        <f>IF(AL591=0,0,AL592/AL591)*100</f>
        <v>#N/A</v>
      </c>
      <c r="AM593" s="352" t="e">
        <f>IF(AM591=0,0,AM592/AM591)*100</f>
        <v>#N/A</v>
      </c>
      <c r="AN593" s="353"/>
      <c r="AO593" s="352" t="e">
        <f>IF(AO591=0,0,AO592/AO591)*100</f>
        <v>#N/A</v>
      </c>
      <c r="AP593" s="352" t="e">
        <f>IF(AP591=0,0,AP592/AP591)*100</f>
        <v>#N/A</v>
      </c>
      <c r="AQ593" s="353"/>
      <c r="AR593" s="352">
        <f>IF(AR591=0,0,AR592/AR591)*100</f>
        <v>0</v>
      </c>
      <c r="AS593" s="352">
        <f>IF(AS591=0,0,AS592/AS591)*100</f>
        <v>0</v>
      </c>
      <c r="AT593" s="353"/>
      <c r="AU593" s="352">
        <f>IF(AU591=0,0,AU592/AU591)*100</f>
        <v>0</v>
      </c>
      <c r="AV593" s="352">
        <f>IF(AV591=0,0,AV592/AV591)*100</f>
        <v>0</v>
      </c>
      <c r="AW593" s="353"/>
      <c r="AX593" s="352">
        <f>IF(AX591=0,0,AX592/AX591)*100</f>
        <v>0</v>
      </c>
      <c r="AY593" s="352">
        <f>IF(AY591=0,0,AY592/AY591)*100</f>
        <v>0</v>
      </c>
      <c r="AZ593" s="353"/>
      <c r="BA593" s="352">
        <f>IF(BA591=0,0,BA592/BA591)*100</f>
        <v>0</v>
      </c>
      <c r="BB593" s="352">
        <f>IF(BB591=0,0,BB592/BB591)*100</f>
        <v>0</v>
      </c>
      <c r="BC593" s="353"/>
      <c r="BD593" s="352">
        <f>IF(BD591=0,0,BD592/BD591)*100</f>
        <v>0</v>
      </c>
      <c r="BE593" s="352">
        <f>IF(BE591=0,0,BE592/BE591)*100</f>
        <v>0</v>
      </c>
      <c r="BF593" s="353"/>
      <c r="BG593" s="352">
        <f>IF(BG591=0,0,BG592/BG591)*100</f>
        <v>0</v>
      </c>
      <c r="BH593" s="352">
        <f>IF(BH591=0,0,BH592/BH591)*100</f>
        <v>0</v>
      </c>
      <c r="BI593" s="353"/>
      <c r="BJ593" s="352">
        <f>IF(BJ591=0,0,BJ592/BJ591)*100</f>
        <v>0</v>
      </c>
      <c r="BK593" s="352">
        <f>IF(BK591=0,0,BK592/BK591)*100</f>
        <v>0</v>
      </c>
      <c r="BL593" s="353"/>
      <c r="BM593" s="352">
        <f>IF(BM591=0,0,BM592/BM591)*100</f>
        <v>0</v>
      </c>
      <c r="BN593" s="352">
        <f>IF(BN591=0,0,BN592/BN591)*100</f>
        <v>0</v>
      </c>
      <c r="BO593" s="353"/>
      <c r="BP593" s="352">
        <f>IF(BP591=0,0,BP592/BP591)*100</f>
        <v>0</v>
      </c>
      <c r="BQ593" s="352">
        <f>IF(BQ591=0,0,BQ592/BQ591)*100</f>
        <v>0</v>
      </c>
      <c r="BR593" s="353"/>
      <c r="BS593" s="352">
        <f>IF(BS591=0,0,BS592/BS591)*100</f>
        <v>0</v>
      </c>
      <c r="BT593" s="352">
        <f>IF(BT591=0,0,BT592/BT591)*100</f>
        <v>0</v>
      </c>
      <c r="BU593" s="353"/>
      <c r="BV593" s="352">
        <f>IF(BV591=0,0,BV592/BV591)*100</f>
        <v>0</v>
      </c>
      <c r="BW593" s="352">
        <f>IF(BW591=0,0,BW592/BW591)*100</f>
        <v>0</v>
      </c>
      <c r="BX593" s="353"/>
      <c r="BY593" s="352">
        <f>IF(BY591=0,0,BY592/BY591)*100</f>
        <v>0</v>
      </c>
      <c r="BZ593" s="352">
        <f>IF(BZ591=0,0,BZ592/BZ591)*100</f>
        <v>0</v>
      </c>
      <c r="CA593" s="353"/>
      <c r="CB593" s="352">
        <f>IF(CB591=0,0,CB592/CB591)*100</f>
        <v>0</v>
      </c>
      <c r="CC593" s="352">
        <f>IF(CC591=0,0,CC592/CC591)*100</f>
        <v>0</v>
      </c>
      <c r="CD593" s="353"/>
      <c r="CE593" s="352">
        <f>IF(CE591=0,0,CE592/CE591)*100</f>
        <v>0</v>
      </c>
      <c r="CF593" s="352">
        <f>IF(CF591=0,0,CF592/CF591)*100</f>
        <v>0</v>
      </c>
      <c r="CG593" s="353"/>
      <c r="CH593" s="352">
        <f>IF(CH591=0,0,CH592/CH591)*100</f>
        <v>0</v>
      </c>
      <c r="CI593" s="352">
        <f>IF(CI591=0,0,CI592/CI591)*100</f>
        <v>0</v>
      </c>
      <c r="CJ593" s="353"/>
      <c r="CK593" s="352">
        <f>IF(CK591=0,0,CK592/CK591)*100</f>
        <v>0</v>
      </c>
      <c r="CL593" s="352">
        <f>IF(CL591=0,0,CL592/CL591)*100</f>
        <v>0</v>
      </c>
      <c r="CM593" s="353"/>
      <c r="CN593" s="352">
        <f>IF(CN591=0,0,CN592/CN591)*100</f>
        <v>0</v>
      </c>
      <c r="CO593" s="352">
        <f>IF(CO591=0,0,CO592/CO591)*100</f>
        <v>0</v>
      </c>
      <c r="CP593" s="353"/>
      <c r="CQ593" s="352">
        <f>IF(CQ591=0,0,CQ592/CQ591)*100</f>
        <v>0</v>
      </c>
      <c r="CR593" s="352">
        <f>IF(CR591=0,0,CR592/CR591)*100</f>
        <v>0</v>
      </c>
      <c r="CS593" s="353"/>
      <c r="CT593" s="352">
        <f>IF(CT591=0,0,CT592/CT591)*100</f>
        <v>0</v>
      </c>
      <c r="CU593" s="352">
        <f>IF(CU591=0,0,CU592/CU591)*100</f>
        <v>0</v>
      </c>
      <c r="CV593" s="353"/>
      <c r="CW593" s="352">
        <f>IF(CW591=0,0,CW592/CW591)*100</f>
        <v>0</v>
      </c>
      <c r="CX593" s="352">
        <f>IF(CX591=0,0,CX592/CX591)*100</f>
        <v>0</v>
      </c>
      <c r="CY593" s="353"/>
      <c r="CZ593" s="352">
        <f>IF(CZ591=0,0,CZ592/CZ591)*100</f>
        <v>0</v>
      </c>
      <c r="DA593" s="352">
        <f>IF(DA591=0,0,DA592/DA591)*100</f>
        <v>0</v>
      </c>
      <c r="DB593" s="353"/>
      <c r="DC593" s="352">
        <f>IF(DC591=0,0,DC592/DC591)*100</f>
        <v>0</v>
      </c>
      <c r="DD593" s="352">
        <f>IF(DD591=0,0,DD592/DD591)*100</f>
        <v>0</v>
      </c>
      <c r="DE593" s="353"/>
      <c r="DF593" s="352">
        <f>IF(DF591=0,0,DF592/DF591)*100</f>
        <v>0</v>
      </c>
      <c r="DG593" s="352">
        <f>IF(DG591=0,0,DG592/DG591)*100</f>
        <v>0</v>
      </c>
      <c r="DH593" s="353"/>
      <c r="DI593" s="352">
        <f>IF(DI591=0,0,DI592/DI591)*100</f>
        <v>0</v>
      </c>
      <c r="DJ593" s="352">
        <f>IF(DJ591=0,0,DJ592/DJ591)*100</f>
        <v>0</v>
      </c>
      <c r="DK593" s="353"/>
      <c r="DL593" s="352">
        <f>IF(DL591=0,0,DL592/DL591)*100</f>
        <v>0</v>
      </c>
      <c r="DM593" s="352">
        <f>IF(DM591=0,0,DM592/DM591)*100</f>
        <v>0</v>
      </c>
      <c r="DN593" s="353"/>
      <c r="DO593" s="352">
        <f>IF(DO591=0,0,DO592/DO591)*100</f>
        <v>0</v>
      </c>
      <c r="DP593" s="352">
        <f>IF(DP591=0,0,DP592/DP591)*100</f>
        <v>0</v>
      </c>
      <c r="DQ593" s="353"/>
      <c r="DR593" s="352">
        <f>IF(DR591=0,0,DR592/DR591)*100</f>
        <v>0</v>
      </c>
      <c r="DS593" s="352">
        <f>IF(DS591=0,0,DS592/DS591)*100</f>
        <v>0</v>
      </c>
      <c r="DT593" s="353"/>
      <c r="DU593" s="352">
        <f>IF(DU591=0,0,DU592/DU591)*100</f>
        <v>0</v>
      </c>
      <c r="DV593" s="352">
        <f>IF(DV591=0,0,DV592/DV591)*100</f>
        <v>0</v>
      </c>
      <c r="DW593" s="353"/>
      <c r="DX593" s="352">
        <f>IF(DX591=0,0,DX592/DX591)*100</f>
        <v>0</v>
      </c>
      <c r="DY593" s="352">
        <f>IF(DY591=0,0,DY592/DY591)*100</f>
        <v>0</v>
      </c>
      <c r="DZ593" s="353"/>
      <c r="EA593" s="352">
        <f>IF(EA591=0,0,EA592/EA591)*100</f>
        <v>0</v>
      </c>
      <c r="EB593" s="352">
        <f>IF(EB591=0,0,EB592/EB591)*100</f>
        <v>0</v>
      </c>
      <c r="EC593" s="353"/>
      <c r="ED593" s="352">
        <f>IF(ED591=0,0,ED592/ED591)*100</f>
        <v>0</v>
      </c>
      <c r="EE593" s="352">
        <f>IF(EE591=0,0,EE592/EE591)*100</f>
        <v>0</v>
      </c>
      <c r="EF593" s="353"/>
      <c r="EG593" s="352">
        <f>IF(EG591=0,0,EG592/EG591)*100</f>
        <v>0</v>
      </c>
      <c r="EH593" s="352">
        <f>IF(EH591=0,0,EH592/EH591)*100</f>
        <v>0</v>
      </c>
      <c r="EI593" s="353"/>
      <c r="EJ593" s="352">
        <f>IF(EJ591=0,0,EJ592/EJ591)*100</f>
        <v>0</v>
      </c>
      <c r="EK593" s="352">
        <f>IF(EK591=0,0,EK592/EK591)*100</f>
        <v>0</v>
      </c>
      <c r="EL593" s="353"/>
      <c r="EM593" s="352">
        <f>IF(EM591=0,0,EM592/EM591)*100</f>
        <v>0</v>
      </c>
      <c r="EN593" s="352">
        <f>IF(EN591=0,0,EN592/EN591)*100</f>
        <v>0</v>
      </c>
      <c r="EO593" s="353"/>
      <c r="EP593" s="352">
        <f>IF(EP591=0,0,EP592/EP591)*100</f>
        <v>0</v>
      </c>
      <c r="EQ593" s="352">
        <f>IF(EQ591=0,0,EQ592/EQ591)*100</f>
        <v>0</v>
      </c>
      <c r="ER593" s="353"/>
      <c r="ES593" s="352">
        <f>IF(ES591=0,0,ES592/ES591)*100</f>
        <v>0</v>
      </c>
      <c r="ET593" s="352">
        <f>IF(ET591=0,0,ET592/ET591)*100</f>
        <v>0</v>
      </c>
      <c r="EU593" s="353"/>
      <c r="EV593" s="352">
        <f>IF(EV591=0,0,EV592/EV591)*100</f>
        <v>0</v>
      </c>
      <c r="EW593" s="352">
        <f>IF(EW591=0,0,EW592/EW591)*100</f>
        <v>0</v>
      </c>
      <c r="EX593" s="353"/>
      <c r="EY593" s="352">
        <f>IF(EY591=0,0,EY592/EY591)*100</f>
        <v>0</v>
      </c>
      <c r="EZ593" s="352">
        <f>IF(EZ591=0,0,EZ592/EZ591)*100</f>
        <v>0</v>
      </c>
      <c r="FA593" s="353"/>
      <c r="FB593" s="352">
        <f>IF(FB591=0,0,FB592/FB591)*100</f>
        <v>0</v>
      </c>
      <c r="FC593" s="352">
        <f>IF(FC591=0,0,FC592/FC591)*100</f>
        <v>0</v>
      </c>
      <c r="FD593" s="353"/>
      <c r="FE593" s="352">
        <f>IF(FE591=0,0,FE592/FE591)*100</f>
        <v>0</v>
      </c>
      <c r="FF593" s="352">
        <f>IF(FF591=0,0,FF592/FF591)*100</f>
        <v>0</v>
      </c>
      <c r="FG593" s="353"/>
    </row>
    <row r="594" spans="1:163" s="509" customFormat="1" ht="15" customHeight="1" outlineLevel="1">
      <c r="A594" s="509" t="str">
        <f t="shared" si="127"/>
        <v>1</v>
      </c>
      <c r="B594" s="104" t="s">
        <v>1185</v>
      </c>
      <c r="C594" s="509" t="s">
        <v>1519</v>
      </c>
      <c r="D594" s="509" t="s">
        <v>1608</v>
      </c>
      <c r="G594" s="509" t="b">
        <f>F582="одноставочный"</f>
        <v>1</v>
      </c>
      <c r="L594" s="351" t="s">
        <v>1179</v>
      </c>
      <c r="M594" s="499" t="s">
        <v>311</v>
      </c>
      <c r="N594" s="493" t="e">
        <f>SUMIFS(INDEX(Калькуляция!$T$15:$AM$266,,MATCH(N$3,Калькуляция!$T$3:$AM$3,0)),Калькуляция!$A$15:$A$266,$A594,Калькуляция!$B$15:$B$266,$B594)</f>
        <v>#N/A</v>
      </c>
      <c r="O594" s="493" t="e">
        <f>SUMIFS(INDEX(Калькуляция!$T$15:$AM$266,,MATCH(O$3,Калькуляция!$T$3:$AM$3,0)),Калькуляция!$A$15:$A$266,$A594,Калькуляция!$B$15:$B$266,$B594)</f>
        <v>#N/A</v>
      </c>
      <c r="P594" s="501" t="e">
        <f>IF(N594=0,0,(O594-N594)/N594*100)</f>
        <v>#N/A</v>
      </c>
      <c r="Q594" s="493" t="e">
        <f>SUMIFS(INDEX(Калькуляция!$T$15:$AM$266,,MATCH(Q$3,Калькуляция!$T$3:$AM$3,0)),Калькуляция!$A$15:$A$266,$A594,Калькуляция!$B$15:$B$266,$B594)</f>
        <v>#N/A</v>
      </c>
      <c r="R594" s="493" t="e">
        <f>SUMIFS(INDEX(Калькуляция!$T$15:$AM$266,,MATCH(R$3,Калькуляция!$T$3:$AM$3,0)),Калькуляция!$A$15:$A$266,$A594,Калькуляция!$B$15:$B$266,$B594)</f>
        <v>#N/A</v>
      </c>
      <c r="S594" s="501" t="e">
        <f>IF(Q594=0,0,(R594-Q594)/Q594*100)</f>
        <v>#N/A</v>
      </c>
      <c r="T594" s="493" t="e">
        <f>SUMIFS(INDEX(Калькуляция!$T$15:$AM$266,,MATCH(T$3,Калькуляция!$T$3:$AM$3,0)),Калькуляция!$A$15:$A$266,$A594,Калькуляция!$B$15:$B$266,$B594)</f>
        <v>#N/A</v>
      </c>
      <c r="U594" s="493" t="e">
        <f>SUMIFS(INDEX(Калькуляция!$T$15:$AM$266,,MATCH(U$3,Калькуляция!$T$3:$AM$3,0)),Калькуляция!$A$15:$A$266,$A594,Калькуляция!$B$15:$B$266,$B594)</f>
        <v>#N/A</v>
      </c>
      <c r="V594" s="501" t="e">
        <f>IF(T594=0,0,(U594-T594)/T594*100)</f>
        <v>#N/A</v>
      </c>
      <c r="W594" s="493" t="e">
        <f>SUMIFS(INDEX(Калькуляция!$T$15:$AM$266,,MATCH(W$3,Калькуляция!$T$3:$AM$3,0)),Калькуляция!$A$15:$A$266,$A594,Калькуляция!$B$15:$B$266,$B594)</f>
        <v>#N/A</v>
      </c>
      <c r="X594" s="493" t="e">
        <f>SUMIFS(INDEX(Калькуляция!$T$15:$AM$266,,MATCH(X$3,Калькуляция!$T$3:$AM$3,0)),Калькуляция!$A$15:$A$266,$A594,Калькуляция!$B$15:$B$266,$B594)</f>
        <v>#N/A</v>
      </c>
      <c r="Y594" s="501" t="e">
        <f>IF(W594=0,0,(X594-W594)/W594*100)</f>
        <v>#N/A</v>
      </c>
      <c r="Z594" s="493" t="e">
        <f>SUMIFS(INDEX(Калькуляция!$T$15:$AM$266,,MATCH(Z$3,Калькуляция!$T$3:$AM$3,0)),Калькуляция!$A$15:$A$266,$A594,Калькуляция!$B$15:$B$266,$B594)</f>
        <v>#N/A</v>
      </c>
      <c r="AA594" s="493" t="e">
        <f>SUMIFS(INDEX(Калькуляция!$T$15:$AM$266,,MATCH(AA$3,Калькуляция!$T$3:$AM$3,0)),Калькуляция!$A$15:$A$266,$A594,Калькуляция!$B$15:$B$266,$B594)</f>
        <v>#N/A</v>
      </c>
      <c r="AB594" s="501" t="e">
        <f>IF(Z594=0,0,(AA594-Z594)/Z594*100)</f>
        <v>#N/A</v>
      </c>
      <c r="AC594" s="493" t="e">
        <f>SUMIFS(INDEX(Калькуляция!$T$15:$AM$266,,MATCH(AC$3,Калькуляция!$T$3:$AM$3,0)),Калькуляция!$A$15:$A$266,$A594,Калькуляция!$B$15:$B$266,$B594)</f>
        <v>#N/A</v>
      </c>
      <c r="AD594" s="493" t="e">
        <f>SUMIFS(INDEX(Калькуляция!$T$15:$AM$266,,MATCH(AD$3,Калькуляция!$T$3:$AM$3,0)),Калькуляция!$A$15:$A$266,$A594,Калькуляция!$B$15:$B$266,$B594)</f>
        <v>#N/A</v>
      </c>
      <c r="AE594" s="501" t="e">
        <f>IF(AC594=0,0,(AD594-AC594)/AC594*100)</f>
        <v>#N/A</v>
      </c>
      <c r="AF594" s="493" t="e">
        <f>SUMIFS(INDEX(Калькуляция!$T$15:$AM$266,,MATCH(AF$3,Калькуляция!$T$3:$AM$3,0)),Калькуляция!$A$15:$A$266,$A594,Калькуляция!$B$15:$B$266,$B594)</f>
        <v>#N/A</v>
      </c>
      <c r="AG594" s="493" t="e">
        <f>SUMIFS(INDEX(Калькуляция!$T$15:$AM$266,,MATCH(AG$3,Калькуляция!$T$3:$AM$3,0)),Калькуляция!$A$15:$A$266,$A594,Калькуляция!$B$15:$B$266,$B594)</f>
        <v>#N/A</v>
      </c>
      <c r="AH594" s="501" t="e">
        <f>IF(AF594=0,0,(AG594-AF594)/AF594*100)</f>
        <v>#N/A</v>
      </c>
      <c r="AI594" s="493" t="e">
        <f>SUMIFS(INDEX(Калькуляция!$T$15:$AM$266,,MATCH(AI$3,Калькуляция!$T$3:$AM$3,0)),Калькуляция!$A$15:$A$266,$A594,Калькуляция!$B$15:$B$266,$B594)</f>
        <v>#N/A</v>
      </c>
      <c r="AJ594" s="493" t="e">
        <f>SUMIFS(INDEX(Калькуляция!$T$15:$AM$266,,MATCH(AJ$3,Калькуляция!$T$3:$AM$3,0)),Калькуляция!$A$15:$A$266,$A594,Калькуляция!$B$15:$B$266,$B594)</f>
        <v>#N/A</v>
      </c>
      <c r="AK594" s="501" t="e">
        <f>IF(AI594=0,0,(AJ594-AI594)/AI594*100)</f>
        <v>#N/A</v>
      </c>
      <c r="AL594" s="493" t="e">
        <f>SUMIFS(INDEX(Калькуляция!$T$15:$AM$266,,MATCH(AL$3,Калькуляция!$T$3:$AM$3,0)),Калькуляция!$A$15:$A$266,$A594,Калькуляция!$B$15:$B$266,$B594)</f>
        <v>#N/A</v>
      </c>
      <c r="AM594" s="493" t="e">
        <f>SUMIFS(INDEX(Калькуляция!$T$15:$AM$266,,MATCH(AM$3,Калькуляция!$T$3:$AM$3,0)),Калькуляция!$A$15:$A$266,$A594,Калькуляция!$B$15:$B$266,$B594)</f>
        <v>#N/A</v>
      </c>
      <c r="AN594" s="501" t="e">
        <f>IF(AL594=0,0,(AM594-AL594)/AL594*100)</f>
        <v>#N/A</v>
      </c>
      <c r="AO594" s="493" t="e">
        <f>SUMIFS(INDEX(Калькуляция!$T$15:$AM$266,,MATCH(AO$3,Калькуляция!$T$3:$AM$3,0)),Калькуляция!$A$15:$A$266,$A594,Калькуляция!$B$15:$B$266,$B594)</f>
        <v>#N/A</v>
      </c>
      <c r="AP594" s="493" t="e">
        <f>SUMIFS(INDEX(Калькуляция!$T$15:$AM$266,,MATCH(AP$3,Калькуляция!$T$3:$AM$3,0)),Калькуляция!$A$15:$A$266,$A594,Калькуляция!$B$15:$B$266,$B594)</f>
        <v>#N/A</v>
      </c>
      <c r="AQ594" s="501" t="e">
        <f>IF(AO594=0,0,(AP594-AO594)/AO594*100)</f>
        <v>#N/A</v>
      </c>
      <c r="AR594" s="493"/>
      <c r="AS594" s="493"/>
      <c r="AT594" s="501">
        <f>IF(AR594=0,0,(AS594-AR594)/AR594*100)</f>
        <v>0</v>
      </c>
      <c r="AU594" s="493"/>
      <c r="AV594" s="493"/>
      <c r="AW594" s="501">
        <f>IF(AU594=0,0,(AV594-AU594)/AU594*100)</f>
        <v>0</v>
      </c>
      <c r="AX594" s="493"/>
      <c r="AY594" s="493"/>
      <c r="AZ594" s="501">
        <f>IF(AX594=0,0,(AY594-AX594)/AX594*100)</f>
        <v>0</v>
      </c>
      <c r="BA594" s="493"/>
      <c r="BB594" s="493"/>
      <c r="BC594" s="501">
        <f>IF(BA594=0,0,(BB594-BA594)/BA594*100)</f>
        <v>0</v>
      </c>
      <c r="BD594" s="493"/>
      <c r="BE594" s="493"/>
      <c r="BF594" s="501">
        <f>IF(BD594=0,0,(BE594-BD594)/BD594*100)</f>
        <v>0</v>
      </c>
      <c r="BG594" s="493"/>
      <c r="BH594" s="493"/>
      <c r="BI594" s="501">
        <f>IF(BG594=0,0,(BH594-BG594)/BG594*100)</f>
        <v>0</v>
      </c>
      <c r="BJ594" s="493"/>
      <c r="BK594" s="493"/>
      <c r="BL594" s="501">
        <f>IF(BJ594=0,0,(BK594-BJ594)/BJ594*100)</f>
        <v>0</v>
      </c>
      <c r="BM594" s="493"/>
      <c r="BN594" s="493"/>
      <c r="BO594" s="501">
        <f>IF(BM594=0,0,(BN594-BM594)/BM594*100)</f>
        <v>0</v>
      </c>
      <c r="BP594" s="493"/>
      <c r="BQ594" s="493"/>
      <c r="BR594" s="501">
        <f>IF(BP594=0,0,(BQ594-BP594)/BP594*100)</f>
        <v>0</v>
      </c>
      <c r="BS594" s="493"/>
      <c r="BT594" s="493"/>
      <c r="BU594" s="501">
        <f>IF(BS594=0,0,(BT594-BS594)/BS594*100)</f>
        <v>0</v>
      </c>
      <c r="BV594" s="493"/>
      <c r="BW594" s="493"/>
      <c r="BX594" s="501">
        <f>IF(BV594=0,0,(BW594-BV594)/BV594*100)</f>
        <v>0</v>
      </c>
      <c r="BY594" s="493"/>
      <c r="BZ594" s="493"/>
      <c r="CA594" s="501">
        <f>IF(BY594=0,0,(BZ594-BY594)/BY594*100)</f>
        <v>0</v>
      </c>
      <c r="CB594" s="493"/>
      <c r="CC594" s="493"/>
      <c r="CD594" s="501">
        <f>IF(CB594=0,0,(CC594-CB594)/CB594*100)</f>
        <v>0</v>
      </c>
      <c r="CE594" s="493"/>
      <c r="CF594" s="493"/>
      <c r="CG594" s="501">
        <f>IF(CE594=0,0,(CF594-CE594)/CE594*100)</f>
        <v>0</v>
      </c>
      <c r="CH594" s="493"/>
      <c r="CI594" s="493"/>
      <c r="CJ594" s="501">
        <f>IF(CH594=0,0,(CI594-CH594)/CH594*100)</f>
        <v>0</v>
      </c>
      <c r="CK594" s="493"/>
      <c r="CL594" s="493"/>
      <c r="CM594" s="501">
        <f>IF(CK594=0,0,(CL594-CK594)/CK594*100)</f>
        <v>0</v>
      </c>
      <c r="CN594" s="493"/>
      <c r="CO594" s="493"/>
      <c r="CP594" s="501">
        <f>IF(CN594=0,0,(CO594-CN594)/CN594*100)</f>
        <v>0</v>
      </c>
      <c r="CQ594" s="493"/>
      <c r="CR594" s="493"/>
      <c r="CS594" s="501">
        <f>IF(CQ594=0,0,(CR594-CQ594)/CQ594*100)</f>
        <v>0</v>
      </c>
      <c r="CT594" s="493"/>
      <c r="CU594" s="493"/>
      <c r="CV594" s="501">
        <f>IF(CT594=0,0,(CU594-CT594)/CT594*100)</f>
        <v>0</v>
      </c>
      <c r="CW594" s="493"/>
      <c r="CX594" s="493"/>
      <c r="CY594" s="501">
        <f>IF(CW594=0,0,(CX594-CW594)/CW594*100)</f>
        <v>0</v>
      </c>
      <c r="CZ594" s="493"/>
      <c r="DA594" s="493"/>
      <c r="DB594" s="501">
        <f>IF(CZ594=0,0,(DA594-CZ594)/CZ594*100)</f>
        <v>0</v>
      </c>
      <c r="DC594" s="493"/>
      <c r="DD594" s="493"/>
      <c r="DE594" s="501">
        <f>IF(DC594=0,0,(DD594-DC594)/DC594*100)</f>
        <v>0</v>
      </c>
      <c r="DF594" s="493"/>
      <c r="DG594" s="493"/>
      <c r="DH594" s="501">
        <f>IF(DF594=0,0,(DG594-DF594)/DF594*100)</f>
        <v>0</v>
      </c>
      <c r="DI594" s="493"/>
      <c r="DJ594" s="493"/>
      <c r="DK594" s="501">
        <f>IF(DI594=0,0,(DJ594-DI594)/DI594*100)</f>
        <v>0</v>
      </c>
      <c r="DL594" s="493"/>
      <c r="DM594" s="493"/>
      <c r="DN594" s="501">
        <f>IF(DL594=0,0,(DM594-DL594)/DL594*100)</f>
        <v>0</v>
      </c>
      <c r="DO594" s="493"/>
      <c r="DP594" s="493"/>
      <c r="DQ594" s="501">
        <f>IF(DO594=0,0,(DP594-DO594)/DO594*100)</f>
        <v>0</v>
      </c>
      <c r="DR594" s="493"/>
      <c r="DS594" s="493"/>
      <c r="DT594" s="501">
        <f>IF(DR594=0,0,(DS594-DR594)/DR594*100)</f>
        <v>0</v>
      </c>
      <c r="DU594" s="493"/>
      <c r="DV594" s="493"/>
      <c r="DW594" s="501">
        <f>IF(DU594=0,0,(DV594-DU594)/DU594*100)</f>
        <v>0</v>
      </c>
      <c r="DX594" s="493"/>
      <c r="DY594" s="493"/>
      <c r="DZ594" s="501">
        <f>IF(DX594=0,0,(DY594-DX594)/DX594*100)</f>
        <v>0</v>
      </c>
      <c r="EA594" s="493"/>
      <c r="EB594" s="493"/>
      <c r="EC594" s="501">
        <f>IF(EA594=0,0,(EB594-EA594)/EA594*100)</f>
        <v>0</v>
      </c>
      <c r="ED594" s="493"/>
      <c r="EE594" s="493"/>
      <c r="EF594" s="501">
        <f>IF(ED594=0,0,(EE594-ED594)/ED594*100)</f>
        <v>0</v>
      </c>
      <c r="EG594" s="493"/>
      <c r="EH594" s="493"/>
      <c r="EI594" s="501">
        <f>IF(EG594=0,0,(EH594-EG594)/EG594*100)</f>
        <v>0</v>
      </c>
      <c r="EJ594" s="493"/>
      <c r="EK594" s="493"/>
      <c r="EL594" s="501">
        <f>IF(EJ594=0,0,(EK594-EJ594)/EJ594*100)</f>
        <v>0</v>
      </c>
      <c r="EM594" s="493"/>
      <c r="EN594" s="493"/>
      <c r="EO594" s="501">
        <f>IF(EM594=0,0,(EN594-EM594)/EM594*100)</f>
        <v>0</v>
      </c>
      <c r="EP594" s="493"/>
      <c r="EQ594" s="493"/>
      <c r="ER594" s="501">
        <f>IF(EP594=0,0,(EQ594-EP594)/EP594*100)</f>
        <v>0</v>
      </c>
      <c r="ES594" s="493"/>
      <c r="ET594" s="493"/>
      <c r="EU594" s="501">
        <f>IF(ES594=0,0,(ET594-ES594)/ES594*100)</f>
        <v>0</v>
      </c>
      <c r="EV594" s="493"/>
      <c r="EW594" s="493"/>
      <c r="EX594" s="501">
        <f>IF(EV594=0,0,(EW594-EV594)/EV594*100)</f>
        <v>0</v>
      </c>
      <c r="EY594" s="493"/>
      <c r="EZ594" s="493"/>
      <c r="FA594" s="501">
        <f>IF(EY594=0,0,(EZ594-EY594)/EY594*100)</f>
        <v>0</v>
      </c>
      <c r="FB594" s="493"/>
      <c r="FC594" s="493"/>
      <c r="FD594" s="501">
        <f>IF(FB594=0,0,(FC594-FB594)/FB594*100)</f>
        <v>0</v>
      </c>
      <c r="FE594" s="493"/>
      <c r="FF594" s="493"/>
      <c r="FG594" s="501">
        <f>IF(FE594=0,0,(FF594-FE594)/FE594*100)</f>
        <v>0</v>
      </c>
    </row>
    <row r="595" spans="1:163" s="509" customFormat="1" ht="15" customHeight="1" outlineLevel="1">
      <c r="A595" s="509" t="str">
        <f t="shared" si="127"/>
        <v>1</v>
      </c>
      <c r="C595" s="509" t="str">
        <f>A595&amp;"pIns1"</f>
        <v>1pIns1</v>
      </c>
      <c r="G595" s="509" t="b">
        <f>F582="одноставочный"</f>
        <v>1</v>
      </c>
      <c r="J595" s="509" t="s">
        <v>1339</v>
      </c>
      <c r="L595" s="494" t="s">
        <v>353</v>
      </c>
      <c r="M595" s="495"/>
      <c r="N595" s="496"/>
      <c r="O595" s="496"/>
      <c r="P595" s="496"/>
      <c r="Q595" s="496"/>
      <c r="R595" s="496"/>
      <c r="S595" s="496"/>
      <c r="T595" s="496"/>
      <c r="U595" s="496"/>
      <c r="V595" s="496"/>
      <c r="W595" s="496"/>
      <c r="X595" s="496"/>
      <c r="Y595" s="496"/>
      <c r="Z595" s="496"/>
      <c r="AA595" s="496"/>
      <c r="AB595" s="496"/>
      <c r="AC595" s="496"/>
      <c r="AD595" s="496"/>
      <c r="AE595" s="496"/>
      <c r="AF595" s="496"/>
      <c r="AG595" s="496"/>
      <c r="AH595" s="496"/>
      <c r="AI595" s="496"/>
      <c r="AJ595" s="496"/>
      <c r="AK595" s="496"/>
      <c r="AL595" s="496"/>
      <c r="AM595" s="496"/>
      <c r="AN595" s="496"/>
      <c r="AO595" s="496"/>
      <c r="AP595" s="496"/>
      <c r="AQ595" s="496"/>
      <c r="AR595" s="496"/>
      <c r="AS595" s="496"/>
      <c r="AT595" s="496"/>
      <c r="AU595" s="496"/>
      <c r="AV595" s="496"/>
      <c r="AW595" s="496"/>
      <c r="AX595" s="496"/>
      <c r="AY595" s="496"/>
      <c r="AZ595" s="496"/>
      <c r="BA595" s="496"/>
      <c r="BB595" s="496"/>
      <c r="BC595" s="496"/>
      <c r="BD595" s="496"/>
      <c r="BE595" s="496"/>
      <c r="BF595" s="496"/>
      <c r="BG595" s="496"/>
      <c r="BH595" s="496"/>
      <c r="BI595" s="496"/>
      <c r="BJ595" s="496"/>
      <c r="BK595" s="496"/>
      <c r="BL595" s="496"/>
      <c r="BM595" s="496"/>
      <c r="BN595" s="496"/>
      <c r="BO595" s="496"/>
      <c r="BP595" s="496"/>
      <c r="BQ595" s="496"/>
      <c r="BR595" s="496"/>
      <c r="BS595" s="496"/>
      <c r="BT595" s="496"/>
      <c r="BU595" s="496"/>
      <c r="BV595" s="496"/>
      <c r="BW595" s="496"/>
      <c r="BX595" s="496"/>
      <c r="BY595" s="496"/>
      <c r="BZ595" s="496"/>
      <c r="CA595" s="496"/>
      <c r="CB595" s="496"/>
      <c r="CC595" s="496"/>
      <c r="CD595" s="496"/>
      <c r="CE595" s="496"/>
      <c r="CF595" s="496"/>
      <c r="CG595" s="496"/>
      <c r="CH595" s="496"/>
      <c r="CI595" s="496"/>
      <c r="CJ595" s="496"/>
      <c r="CK595" s="496"/>
      <c r="CL595" s="496"/>
      <c r="CM595" s="496"/>
      <c r="CN595" s="496"/>
      <c r="CO595" s="496"/>
      <c r="CP595" s="496"/>
      <c r="CQ595" s="496"/>
      <c r="CR595" s="496"/>
      <c r="CS595" s="496"/>
      <c r="CT595" s="496"/>
      <c r="CU595" s="496"/>
      <c r="CV595" s="496"/>
      <c r="CW595" s="496"/>
      <c r="CX595" s="496"/>
      <c r="CY595" s="496"/>
      <c r="CZ595" s="496"/>
      <c r="DA595" s="496"/>
      <c r="DB595" s="496"/>
      <c r="DC595" s="496"/>
      <c r="DD595" s="496"/>
      <c r="DE595" s="496"/>
      <c r="DF595" s="496"/>
      <c r="DG595" s="496"/>
      <c r="DH595" s="496"/>
      <c r="DI595" s="496"/>
      <c r="DJ595" s="496"/>
      <c r="DK595" s="496"/>
      <c r="DL595" s="496"/>
      <c r="DM595" s="496"/>
      <c r="DN595" s="496"/>
      <c r="DO595" s="496"/>
      <c r="DP595" s="496"/>
      <c r="DQ595" s="496"/>
      <c r="DR595" s="496"/>
      <c r="DS595" s="496"/>
      <c r="DT595" s="496"/>
      <c r="DU595" s="496"/>
      <c r="DV595" s="496"/>
      <c r="DW595" s="496"/>
      <c r="DX595" s="496"/>
      <c r="DY595" s="496"/>
      <c r="DZ595" s="496"/>
      <c r="EA595" s="496"/>
      <c r="EB595" s="496"/>
      <c r="EC595" s="496"/>
      <c r="ED595" s="496"/>
      <c r="EE595" s="496"/>
      <c r="EF595" s="496"/>
      <c r="EG595" s="496"/>
      <c r="EH595" s="496"/>
      <c r="EI595" s="496"/>
      <c r="EJ595" s="496"/>
      <c r="EK595" s="496"/>
      <c r="EL595" s="496"/>
      <c r="EM595" s="496"/>
      <c r="EN595" s="496"/>
      <c r="EO595" s="496"/>
      <c r="EP595" s="496"/>
      <c r="EQ595" s="496"/>
      <c r="ER595" s="496"/>
      <c r="ES595" s="496"/>
      <c r="ET595" s="496"/>
      <c r="EU595" s="496"/>
      <c r="EV595" s="496"/>
      <c r="EW595" s="496"/>
      <c r="EX595" s="496"/>
      <c r="EY595" s="496"/>
      <c r="EZ595" s="496"/>
      <c r="FA595" s="496"/>
      <c r="FB595" s="496"/>
      <c r="FC595" s="496"/>
      <c r="FD595" s="496"/>
      <c r="FE595" s="496"/>
      <c r="FF595" s="496"/>
      <c r="FG595" s="322"/>
    </row>
    <row r="596" spans="1:163" s="509" customFormat="1" ht="15" customHeight="1" outlineLevel="1">
      <c r="A596" s="509" t="str">
        <f>A594</f>
        <v>1</v>
      </c>
      <c r="G596" s="509" t="b">
        <f>F582="двухставочный"</f>
        <v>0</v>
      </c>
      <c r="L596" s="343" t="s">
        <v>667</v>
      </c>
      <c r="M596" s="544"/>
      <c r="N596" s="344"/>
      <c r="O596" s="344"/>
      <c r="P596" s="344"/>
      <c r="Q596" s="344"/>
      <c r="R596" s="344"/>
      <c r="S596" s="344"/>
      <c r="T596" s="344"/>
      <c r="U596" s="344"/>
      <c r="V596" s="344"/>
      <c r="W596" s="344"/>
      <c r="X596" s="344"/>
      <c r="Y596" s="344"/>
      <c r="Z596" s="344"/>
      <c r="AA596" s="344"/>
      <c r="AB596" s="344"/>
      <c r="AC596" s="344"/>
      <c r="AD596" s="344"/>
      <c r="AE596" s="344"/>
      <c r="AF596" s="344"/>
      <c r="AG596" s="344"/>
      <c r="AH596" s="344"/>
      <c r="AI596" s="344"/>
      <c r="AJ596" s="344"/>
      <c r="AK596" s="344"/>
      <c r="AL596" s="344"/>
      <c r="AM596" s="344"/>
      <c r="AN596" s="344"/>
      <c r="AO596" s="344"/>
      <c r="AP596" s="344"/>
      <c r="AQ596" s="344"/>
      <c r="AR596" s="344"/>
      <c r="AS596" s="344"/>
      <c r="AT596" s="344"/>
      <c r="AU596" s="344"/>
      <c r="AV596" s="344"/>
      <c r="AW596" s="344"/>
      <c r="AX596" s="344"/>
      <c r="AY596" s="344"/>
      <c r="AZ596" s="344"/>
      <c r="BA596" s="344"/>
      <c r="BB596" s="344"/>
      <c r="BC596" s="344"/>
      <c r="BD596" s="344"/>
      <c r="BE596" s="344"/>
      <c r="BF596" s="344"/>
      <c r="BG596" s="344"/>
      <c r="BH596" s="344"/>
      <c r="BI596" s="344"/>
      <c r="BJ596" s="344"/>
      <c r="BK596" s="344"/>
      <c r="BL596" s="344"/>
      <c r="BM596" s="344"/>
      <c r="BN596" s="344"/>
      <c r="BO596" s="344"/>
      <c r="BP596" s="344"/>
      <c r="BQ596" s="344"/>
      <c r="BR596" s="344"/>
      <c r="BS596" s="344"/>
      <c r="BT596" s="344"/>
      <c r="BU596" s="344"/>
      <c r="BV596" s="344"/>
      <c r="BW596" s="344"/>
      <c r="BX596" s="344"/>
      <c r="BY596" s="344"/>
      <c r="BZ596" s="344"/>
      <c r="CA596" s="344"/>
      <c r="CB596" s="344"/>
      <c r="CC596" s="344"/>
      <c r="CD596" s="344"/>
      <c r="CE596" s="344"/>
      <c r="CF596" s="344"/>
      <c r="CG596" s="344"/>
      <c r="CH596" s="344"/>
      <c r="CI596" s="344"/>
      <c r="CJ596" s="344"/>
      <c r="CK596" s="344"/>
      <c r="CL596" s="344"/>
      <c r="CM596" s="344"/>
      <c r="CN596" s="344"/>
      <c r="CO596" s="344"/>
      <c r="CP596" s="344"/>
      <c r="CQ596" s="344"/>
      <c r="CR596" s="344"/>
      <c r="CS596" s="344"/>
      <c r="CT596" s="344"/>
      <c r="CU596" s="344"/>
      <c r="CV596" s="344"/>
      <c r="CW596" s="344"/>
      <c r="CX596" s="344"/>
      <c r="CY596" s="344"/>
      <c r="CZ596" s="344"/>
      <c r="DA596" s="344"/>
      <c r="DB596" s="344"/>
      <c r="DC596" s="344"/>
      <c r="DD596" s="344"/>
      <c r="DE596" s="344"/>
      <c r="DF596" s="344"/>
      <c r="DG596" s="344"/>
      <c r="DH596" s="344"/>
      <c r="DI596" s="344"/>
      <c r="DJ596" s="344"/>
      <c r="DK596" s="344"/>
      <c r="DL596" s="344"/>
      <c r="DM596" s="344"/>
      <c r="DN596" s="344"/>
      <c r="DO596" s="344"/>
      <c r="DP596" s="344"/>
      <c r="DQ596" s="344"/>
      <c r="DR596" s="344"/>
      <c r="DS596" s="344"/>
      <c r="DT596" s="344"/>
      <c r="DU596" s="344"/>
      <c r="DV596" s="344"/>
      <c r="DW596" s="344"/>
      <c r="DX596" s="344"/>
      <c r="DY596" s="344"/>
      <c r="DZ596" s="344"/>
      <c r="EA596" s="344"/>
      <c r="EB596" s="344"/>
      <c r="EC596" s="344"/>
      <c r="ED596" s="344"/>
      <c r="EE596" s="344"/>
      <c r="EF596" s="344"/>
      <c r="EG596" s="344"/>
      <c r="EH596" s="344"/>
      <c r="EI596" s="344"/>
      <c r="EJ596" s="344"/>
      <c r="EK596" s="344"/>
      <c r="EL596" s="344"/>
      <c r="EM596" s="344"/>
      <c r="EN596" s="344"/>
      <c r="EO596" s="344"/>
      <c r="EP596" s="344"/>
      <c r="EQ596" s="344"/>
      <c r="ER596" s="344"/>
      <c r="ES596" s="344"/>
      <c r="ET596" s="344"/>
      <c r="EU596" s="344"/>
      <c r="EV596" s="344"/>
      <c r="EW596" s="344"/>
      <c r="EX596" s="344"/>
      <c r="EY596" s="344"/>
      <c r="EZ596" s="344"/>
      <c r="FA596" s="344"/>
      <c r="FB596" s="344"/>
      <c r="FC596" s="344"/>
      <c r="FD596" s="344"/>
      <c r="FE596" s="344"/>
      <c r="FF596" s="344"/>
      <c r="FG596" s="345"/>
    </row>
    <row r="597" spans="1:163" s="509" customFormat="1" ht="15" customHeight="1" outlineLevel="1">
      <c r="A597" s="509" t="str">
        <f t="shared" si="127"/>
        <v>1</v>
      </c>
      <c r="G597" s="509" t="b">
        <f>F582="двухставочный"</f>
        <v>0</v>
      </c>
      <c r="L597" s="347" t="s">
        <v>1186</v>
      </c>
      <c r="M597" s="545"/>
      <c r="N597" s="546"/>
      <c r="O597" s="546"/>
      <c r="P597" s="546"/>
      <c r="Q597" s="546"/>
      <c r="R597" s="546"/>
      <c r="S597" s="546"/>
      <c r="T597" s="546"/>
      <c r="U597" s="546"/>
      <c r="V597" s="546"/>
      <c r="W597" s="546"/>
      <c r="X597" s="546"/>
      <c r="Y597" s="546"/>
      <c r="Z597" s="546"/>
      <c r="AA597" s="546"/>
      <c r="AB597" s="546"/>
      <c r="AC597" s="546"/>
      <c r="AD597" s="546"/>
      <c r="AE597" s="546"/>
      <c r="AF597" s="546"/>
      <c r="AG597" s="546"/>
      <c r="AH597" s="546"/>
      <c r="AI597" s="546"/>
      <c r="AJ597" s="546"/>
      <c r="AK597" s="546"/>
      <c r="AL597" s="546"/>
      <c r="AM597" s="546"/>
      <c r="AN597" s="546"/>
      <c r="AO597" s="546"/>
      <c r="AP597" s="546"/>
      <c r="AQ597" s="546"/>
      <c r="AR597" s="546"/>
      <c r="AS597" s="546"/>
      <c r="AT597" s="546"/>
      <c r="AU597" s="546"/>
      <c r="AV597" s="546"/>
      <c r="AW597" s="546"/>
      <c r="AX597" s="546"/>
      <c r="AY597" s="546"/>
      <c r="AZ597" s="546"/>
      <c r="BA597" s="546"/>
      <c r="BB597" s="546"/>
      <c r="BC597" s="546"/>
      <c r="BD597" s="546"/>
      <c r="BE597" s="546"/>
      <c r="BF597" s="546"/>
      <c r="BG597" s="546"/>
      <c r="BH597" s="546"/>
      <c r="BI597" s="546"/>
      <c r="BJ597" s="546"/>
      <c r="BK597" s="546"/>
      <c r="BL597" s="546"/>
      <c r="BM597" s="546"/>
      <c r="BN597" s="546"/>
      <c r="BO597" s="546"/>
      <c r="BP597" s="546"/>
      <c r="BQ597" s="546"/>
      <c r="BR597" s="546"/>
      <c r="BS597" s="546"/>
      <c r="BT597" s="546"/>
      <c r="BU597" s="546"/>
      <c r="BV597" s="546"/>
      <c r="BW597" s="546"/>
      <c r="BX597" s="546"/>
      <c r="BY597" s="546"/>
      <c r="BZ597" s="546"/>
      <c r="CA597" s="546"/>
      <c r="CB597" s="546"/>
      <c r="CC597" s="546"/>
      <c r="CD597" s="546"/>
      <c r="CE597" s="546"/>
      <c r="CF597" s="546"/>
      <c r="CG597" s="546"/>
      <c r="CH597" s="546"/>
      <c r="CI597" s="546"/>
      <c r="CJ597" s="546"/>
      <c r="CK597" s="546"/>
      <c r="CL597" s="546"/>
      <c r="CM597" s="546"/>
      <c r="CN597" s="546"/>
      <c r="CO597" s="546"/>
      <c r="CP597" s="546"/>
      <c r="CQ597" s="546"/>
      <c r="CR597" s="546"/>
      <c r="CS597" s="546"/>
      <c r="CT597" s="546"/>
      <c r="CU597" s="546"/>
      <c r="CV597" s="546"/>
      <c r="CW597" s="546"/>
      <c r="CX597" s="546"/>
      <c r="CY597" s="546"/>
      <c r="CZ597" s="546"/>
      <c r="DA597" s="546"/>
      <c r="DB597" s="546"/>
      <c r="DC597" s="546"/>
      <c r="DD597" s="546"/>
      <c r="DE597" s="546"/>
      <c r="DF597" s="546"/>
      <c r="DG597" s="546"/>
      <c r="DH597" s="546"/>
      <c r="DI597" s="546"/>
      <c r="DJ597" s="546"/>
      <c r="DK597" s="546"/>
      <c r="DL597" s="546"/>
      <c r="DM597" s="546"/>
      <c r="DN597" s="546"/>
      <c r="DO597" s="546"/>
      <c r="DP597" s="546"/>
      <c r="DQ597" s="546"/>
      <c r="DR597" s="546"/>
      <c r="DS597" s="546"/>
      <c r="DT597" s="546"/>
      <c r="DU597" s="546"/>
      <c r="DV597" s="546"/>
      <c r="DW597" s="546"/>
      <c r="DX597" s="546"/>
      <c r="DY597" s="546"/>
      <c r="DZ597" s="546"/>
      <c r="EA597" s="546"/>
      <c r="EB597" s="546"/>
      <c r="EC597" s="546"/>
      <c r="ED597" s="546"/>
      <c r="EE597" s="546"/>
      <c r="EF597" s="546"/>
      <c r="EG597" s="546"/>
      <c r="EH597" s="546"/>
      <c r="EI597" s="546"/>
      <c r="EJ597" s="546"/>
      <c r="EK597" s="546"/>
      <c r="EL597" s="546"/>
      <c r="EM597" s="546"/>
      <c r="EN597" s="546"/>
      <c r="EO597" s="546"/>
      <c r="EP597" s="546"/>
      <c r="EQ597" s="546"/>
      <c r="ER597" s="546"/>
      <c r="ES597" s="546"/>
      <c r="ET597" s="546"/>
      <c r="EU597" s="546"/>
      <c r="EV597" s="546"/>
      <c r="EW597" s="546"/>
      <c r="EX597" s="546"/>
      <c r="EY597" s="546"/>
      <c r="EZ597" s="546"/>
      <c r="FA597" s="546"/>
      <c r="FB597" s="546"/>
      <c r="FC597" s="546"/>
      <c r="FD597" s="546"/>
      <c r="FE597" s="546"/>
      <c r="FF597" s="546"/>
      <c r="FG597" s="547"/>
    </row>
    <row r="598" spans="1:163" s="509" customFormat="1" ht="15" customHeight="1" outlineLevel="1">
      <c r="A598" s="509" t="str">
        <f t="shared" si="127"/>
        <v>1</v>
      </c>
      <c r="C598" s="509" t="s">
        <v>1440</v>
      </c>
      <c r="D598" s="509" t="s">
        <v>1603</v>
      </c>
      <c r="G598" s="509" t="b">
        <f>F582="двухставочный"</f>
        <v>0</v>
      </c>
      <c r="L598" s="356" t="s">
        <v>668</v>
      </c>
      <c r="M598" s="499" t="s">
        <v>655</v>
      </c>
      <c r="N598" s="354" t="e">
        <f>IF(N600=0,0,(N599*N600+N601*N602*6)/N600)</f>
        <v>#N/A</v>
      </c>
      <c r="O598" s="354" t="e">
        <f>IF(O600=0,0,(O599*O600+O601*O602*6)/O600)</f>
        <v>#N/A</v>
      </c>
      <c r="P598" s="353" t="e">
        <f>IF(N598=0,0,(O598-N598)/N598*100)</f>
        <v>#N/A</v>
      </c>
      <c r="Q598" s="354" t="e">
        <f>IF(Q600=0,0,(Q599*Q600+Q601*Q602*6)/Q600)</f>
        <v>#N/A</v>
      </c>
      <c r="R598" s="354" t="e">
        <f>IF(R600=0,0,(R599*R600+R601*R602*6)/R600)</f>
        <v>#N/A</v>
      </c>
      <c r="S598" s="353" t="e">
        <f>IF(Q598=0,0,(R598-Q598)/Q598*100)</f>
        <v>#N/A</v>
      </c>
      <c r="T598" s="354" t="e">
        <f>IF(T600=0,0,(T599*T600+T601*T602*6)/T600)</f>
        <v>#N/A</v>
      </c>
      <c r="U598" s="354" t="e">
        <f>IF(U600=0,0,(U599*U600+U601*U602*6)/U600)</f>
        <v>#N/A</v>
      </c>
      <c r="V598" s="353" t="e">
        <f>IF(T598=0,0,(U598-T598)/T598*100)</f>
        <v>#N/A</v>
      </c>
      <c r="W598" s="354" t="e">
        <f>IF(W600=0,0,(W599*W600+W601*W602*6)/W600)</f>
        <v>#N/A</v>
      </c>
      <c r="X598" s="354" t="e">
        <f>IF(X600=0,0,(X599*X600+X601*X602*6)/X600)</f>
        <v>#N/A</v>
      </c>
      <c r="Y598" s="353" t="e">
        <f>IF(W598=0,0,(X598-W598)/W598*100)</f>
        <v>#N/A</v>
      </c>
      <c r="Z598" s="354" t="e">
        <f>IF(Z600=0,0,(Z599*Z600+Z601*Z602*6)/Z600)</f>
        <v>#N/A</v>
      </c>
      <c r="AA598" s="354" t="e">
        <f>IF(AA600=0,0,(AA599*AA600+AA601*AA602*6)/AA600)</f>
        <v>#N/A</v>
      </c>
      <c r="AB598" s="353" t="e">
        <f>IF(Z598=0,0,(AA598-Z598)/Z598*100)</f>
        <v>#N/A</v>
      </c>
      <c r="AC598" s="354" t="e">
        <f>IF(AC600=0,0,(AC599*AC600+AC601*AC602*6)/AC600)</f>
        <v>#N/A</v>
      </c>
      <c r="AD598" s="354" t="e">
        <f>IF(AD600=0,0,(AD599*AD600+AD601*AD602*6)/AD600)</f>
        <v>#N/A</v>
      </c>
      <c r="AE598" s="353" t="e">
        <f>IF(AC598=0,0,(AD598-AC598)/AC598*100)</f>
        <v>#N/A</v>
      </c>
      <c r="AF598" s="354" t="e">
        <f>IF(AF600=0,0,(AF599*AF600+AF601*AF602*6)/AF600)</f>
        <v>#N/A</v>
      </c>
      <c r="AG598" s="354" t="e">
        <f>IF(AG600=0,0,(AG599*AG600+AG601*AG602*6)/AG600)</f>
        <v>#N/A</v>
      </c>
      <c r="AH598" s="353" t="e">
        <f>IF(AF598=0,0,(AG598-AF598)/AF598*100)</f>
        <v>#N/A</v>
      </c>
      <c r="AI598" s="354" t="e">
        <f>IF(AI600=0,0,(AI599*AI600+AI601*AI602*6)/AI600)</f>
        <v>#N/A</v>
      </c>
      <c r="AJ598" s="354" t="e">
        <f>IF(AJ600=0,0,(AJ599*AJ600+AJ601*AJ602*6)/AJ600)</f>
        <v>#N/A</v>
      </c>
      <c r="AK598" s="353" t="e">
        <f>IF(AI598=0,0,(AJ598-AI598)/AI598*100)</f>
        <v>#N/A</v>
      </c>
      <c r="AL598" s="354" t="e">
        <f>IF(AL600=0,0,(AL599*AL600+AL601*AL602*6)/AL600)</f>
        <v>#N/A</v>
      </c>
      <c r="AM598" s="354" t="e">
        <f>IF(AM600=0,0,(AM599*AM600+AM601*AM602*6)/AM600)</f>
        <v>#N/A</v>
      </c>
      <c r="AN598" s="353" t="e">
        <f>IF(AL598=0,0,(AM598-AL598)/AL598*100)</f>
        <v>#N/A</v>
      </c>
      <c r="AO598" s="354" t="e">
        <f>IF(AO600=0,0,(AO599*AO600+AO601*AO602*6)/AO600)</f>
        <v>#N/A</v>
      </c>
      <c r="AP598" s="354" t="e">
        <f>IF(AP600=0,0,(AP599*AP600+AP601*AP602*6)/AP600)</f>
        <v>#N/A</v>
      </c>
      <c r="AQ598" s="353" t="e">
        <f>IF(AO598=0,0,(AP598-AO598)/AO598*100)</f>
        <v>#N/A</v>
      </c>
      <c r="AR598" s="354">
        <f>IF(AR600=0,0,(AR599*AR600+AR601*AR602*6)/AR600)</f>
        <v>0</v>
      </c>
      <c r="AS598" s="354">
        <f>IF(AS600=0,0,(AS599*AS600+AS601*AS602*6)/AS600)</f>
        <v>0</v>
      </c>
      <c r="AT598" s="353">
        <f>IF(AR598=0,0,(AS598-AR598)/AR598*100)</f>
        <v>0</v>
      </c>
      <c r="AU598" s="354">
        <f>IF(AU600=0,0,(AU599*AU600+AU601*AU602*6)/AU600)</f>
        <v>0</v>
      </c>
      <c r="AV598" s="354">
        <f>IF(AV600=0,0,(AV599*AV600+AV601*AV602*6)/AV600)</f>
        <v>0</v>
      </c>
      <c r="AW598" s="353">
        <f>IF(AU598=0,0,(AV598-AU598)/AU598*100)</f>
        <v>0</v>
      </c>
      <c r="AX598" s="354">
        <f>IF(AX600=0,0,(AX599*AX600+AX601*AX602*6)/AX600)</f>
        <v>0</v>
      </c>
      <c r="AY598" s="354">
        <f>IF(AY600=0,0,(AY599*AY600+AY601*AY602*6)/AY600)</f>
        <v>0</v>
      </c>
      <c r="AZ598" s="353">
        <f>IF(AX598=0,0,(AY598-AX598)/AX598*100)</f>
        <v>0</v>
      </c>
      <c r="BA598" s="354">
        <f>IF(BA600=0,0,(BA599*BA600+BA601*BA602*6)/BA600)</f>
        <v>0</v>
      </c>
      <c r="BB598" s="354">
        <f>IF(BB600=0,0,(BB599*BB600+BB601*BB602*6)/BB600)</f>
        <v>0</v>
      </c>
      <c r="BC598" s="353">
        <f>IF(BA598=0,0,(BB598-BA598)/BA598*100)</f>
        <v>0</v>
      </c>
      <c r="BD598" s="354">
        <f>IF(BD600=0,0,(BD599*BD600+BD601*BD602*6)/BD600)</f>
        <v>0</v>
      </c>
      <c r="BE598" s="354">
        <f>IF(BE600=0,0,(BE599*BE600+BE601*BE602*6)/BE600)</f>
        <v>0</v>
      </c>
      <c r="BF598" s="353">
        <f>IF(BD598=0,0,(BE598-BD598)/BD598*100)</f>
        <v>0</v>
      </c>
      <c r="BG598" s="354">
        <f>IF(BG600=0,0,(BG599*BG600+BG601*BG602*6)/BG600)</f>
        <v>0</v>
      </c>
      <c r="BH598" s="354">
        <f>IF(BH600=0,0,(BH599*BH600+BH601*BH602*6)/BH600)</f>
        <v>0</v>
      </c>
      <c r="BI598" s="353">
        <f>IF(BG598=0,0,(BH598-BG598)/BG598*100)</f>
        <v>0</v>
      </c>
      <c r="BJ598" s="354">
        <f>IF(BJ600=0,0,(BJ599*BJ600+BJ601*BJ602*6)/BJ600)</f>
        <v>0</v>
      </c>
      <c r="BK598" s="354">
        <f>IF(BK600=0,0,(BK599*BK600+BK601*BK602*6)/BK600)</f>
        <v>0</v>
      </c>
      <c r="BL598" s="353">
        <f>IF(BJ598=0,0,(BK598-BJ598)/BJ598*100)</f>
        <v>0</v>
      </c>
      <c r="BM598" s="354">
        <f>IF(BM600=0,0,(BM599*BM600+BM601*BM602*6)/BM600)</f>
        <v>0</v>
      </c>
      <c r="BN598" s="354">
        <f>IF(BN600=0,0,(BN599*BN600+BN601*BN602*6)/BN600)</f>
        <v>0</v>
      </c>
      <c r="BO598" s="353">
        <f>IF(BM598=0,0,(BN598-BM598)/BM598*100)</f>
        <v>0</v>
      </c>
      <c r="BP598" s="354">
        <f>IF(BP600=0,0,(BP599*BP600+BP601*BP602*6)/BP600)</f>
        <v>0</v>
      </c>
      <c r="BQ598" s="354">
        <f>IF(BQ600=0,0,(BQ599*BQ600+BQ601*BQ602*6)/BQ600)</f>
        <v>0</v>
      </c>
      <c r="BR598" s="353">
        <f>IF(BP598=0,0,(BQ598-BP598)/BP598*100)</f>
        <v>0</v>
      </c>
      <c r="BS598" s="354">
        <f>IF(BS600=0,0,(BS599*BS600+BS601*BS602*6)/BS600)</f>
        <v>0</v>
      </c>
      <c r="BT598" s="354">
        <f>IF(BT600=0,0,(BT599*BT600+BT601*BT602*6)/BT600)</f>
        <v>0</v>
      </c>
      <c r="BU598" s="353">
        <f>IF(BS598=0,0,(BT598-BS598)/BS598*100)</f>
        <v>0</v>
      </c>
      <c r="BV598" s="354">
        <f>IF(BV600=0,0,(BV599*BV600+BV601*BV602*6)/BV600)</f>
        <v>0</v>
      </c>
      <c r="BW598" s="354">
        <f>IF(BW600=0,0,(BW599*BW600+BW601*BW602*6)/BW600)</f>
        <v>0</v>
      </c>
      <c r="BX598" s="353">
        <f>IF(BV598=0,0,(BW598-BV598)/BV598*100)</f>
        <v>0</v>
      </c>
      <c r="BY598" s="354">
        <f>IF(BY600=0,0,(BY599*BY600+BY601*BY602*6)/BY600)</f>
        <v>0</v>
      </c>
      <c r="BZ598" s="354">
        <f>IF(BZ600=0,0,(BZ599*BZ600+BZ601*BZ602*6)/BZ600)</f>
        <v>0</v>
      </c>
      <c r="CA598" s="353">
        <f>IF(BY598=0,0,(BZ598-BY598)/BY598*100)</f>
        <v>0</v>
      </c>
      <c r="CB598" s="354">
        <f>IF(CB600=0,0,(CB599*CB600+CB601*CB602*6)/CB600)</f>
        <v>0</v>
      </c>
      <c r="CC598" s="354">
        <f>IF(CC600=0,0,(CC599*CC600+CC601*CC602*6)/CC600)</f>
        <v>0</v>
      </c>
      <c r="CD598" s="353">
        <f>IF(CB598=0,0,(CC598-CB598)/CB598*100)</f>
        <v>0</v>
      </c>
      <c r="CE598" s="354">
        <f>IF(CE600=0,0,(CE599*CE600+CE601*CE602*6)/CE600)</f>
        <v>0</v>
      </c>
      <c r="CF598" s="354">
        <f>IF(CF600=0,0,(CF599*CF600+CF601*CF602*6)/CF600)</f>
        <v>0</v>
      </c>
      <c r="CG598" s="353">
        <f>IF(CE598=0,0,(CF598-CE598)/CE598*100)</f>
        <v>0</v>
      </c>
      <c r="CH598" s="354">
        <f>IF(CH600=0,0,(CH599*CH600+CH601*CH602*6)/CH600)</f>
        <v>0</v>
      </c>
      <c r="CI598" s="354">
        <f>IF(CI600=0,0,(CI599*CI600+CI601*CI602*6)/CI600)</f>
        <v>0</v>
      </c>
      <c r="CJ598" s="353">
        <f>IF(CH598=0,0,(CI598-CH598)/CH598*100)</f>
        <v>0</v>
      </c>
      <c r="CK598" s="354">
        <f>IF(CK600=0,0,(CK599*CK600+CK601*CK602*6)/CK600)</f>
        <v>0</v>
      </c>
      <c r="CL598" s="354">
        <f>IF(CL600=0,0,(CL599*CL600+CL601*CL602*6)/CL600)</f>
        <v>0</v>
      </c>
      <c r="CM598" s="353">
        <f>IF(CK598=0,0,(CL598-CK598)/CK598*100)</f>
        <v>0</v>
      </c>
      <c r="CN598" s="354">
        <f>IF(CN600=0,0,(CN599*CN600+CN601*CN602*6)/CN600)</f>
        <v>0</v>
      </c>
      <c r="CO598" s="354">
        <f>IF(CO600=0,0,(CO599*CO600+CO601*CO602*6)/CO600)</f>
        <v>0</v>
      </c>
      <c r="CP598" s="353">
        <f>IF(CN598=0,0,(CO598-CN598)/CN598*100)</f>
        <v>0</v>
      </c>
      <c r="CQ598" s="354">
        <f>IF(CQ600=0,0,(CQ599*CQ600+CQ601*CQ602*6)/CQ600)</f>
        <v>0</v>
      </c>
      <c r="CR598" s="354">
        <f>IF(CR600=0,0,(CR599*CR600+CR601*CR602*6)/CR600)</f>
        <v>0</v>
      </c>
      <c r="CS598" s="353">
        <f>IF(CQ598=0,0,(CR598-CQ598)/CQ598*100)</f>
        <v>0</v>
      </c>
      <c r="CT598" s="354">
        <f>IF(CT600=0,0,(CT599*CT600+CT601*CT602*6)/CT600)</f>
        <v>0</v>
      </c>
      <c r="CU598" s="354">
        <f>IF(CU600=0,0,(CU599*CU600+CU601*CU602*6)/CU600)</f>
        <v>0</v>
      </c>
      <c r="CV598" s="353">
        <f>IF(CT598=0,0,(CU598-CT598)/CT598*100)</f>
        <v>0</v>
      </c>
      <c r="CW598" s="354">
        <f>IF(CW600=0,0,(CW599*CW600+CW601*CW602*6)/CW600)</f>
        <v>0</v>
      </c>
      <c r="CX598" s="354">
        <f>IF(CX600=0,0,(CX599*CX600+CX601*CX602*6)/CX600)</f>
        <v>0</v>
      </c>
      <c r="CY598" s="353">
        <f>IF(CW598=0,0,(CX598-CW598)/CW598*100)</f>
        <v>0</v>
      </c>
      <c r="CZ598" s="354">
        <f>IF(CZ600=0,0,(CZ599*CZ600+CZ601*CZ602*6)/CZ600)</f>
        <v>0</v>
      </c>
      <c r="DA598" s="354">
        <f>IF(DA600=0,0,(DA599*DA600+DA601*DA602*6)/DA600)</f>
        <v>0</v>
      </c>
      <c r="DB598" s="353">
        <f>IF(CZ598=0,0,(DA598-CZ598)/CZ598*100)</f>
        <v>0</v>
      </c>
      <c r="DC598" s="354">
        <f>IF(DC600=0,0,(DC599*DC600+DC601*DC602*6)/DC600)</f>
        <v>0</v>
      </c>
      <c r="DD598" s="354">
        <f>IF(DD600=0,0,(DD599*DD600+DD601*DD602*6)/DD600)</f>
        <v>0</v>
      </c>
      <c r="DE598" s="353">
        <f>IF(DC598=0,0,(DD598-DC598)/DC598*100)</f>
        <v>0</v>
      </c>
      <c r="DF598" s="354">
        <f>IF(DF600=0,0,(DF599*DF600+DF601*DF602*6)/DF600)</f>
        <v>0</v>
      </c>
      <c r="DG598" s="354">
        <f>IF(DG600=0,0,(DG599*DG600+DG601*DG602*6)/DG600)</f>
        <v>0</v>
      </c>
      <c r="DH598" s="353">
        <f>IF(DF598=0,0,(DG598-DF598)/DF598*100)</f>
        <v>0</v>
      </c>
      <c r="DI598" s="354">
        <f>IF(DI600=0,0,(DI599*DI600+DI601*DI602*6)/DI600)</f>
        <v>0</v>
      </c>
      <c r="DJ598" s="354">
        <f>IF(DJ600=0,0,(DJ599*DJ600+DJ601*DJ602*6)/DJ600)</f>
        <v>0</v>
      </c>
      <c r="DK598" s="353">
        <f>IF(DI598=0,0,(DJ598-DI598)/DI598*100)</f>
        <v>0</v>
      </c>
      <c r="DL598" s="354">
        <f>IF(DL600=0,0,(DL599*DL600+DL601*DL602*6)/DL600)</f>
        <v>0</v>
      </c>
      <c r="DM598" s="354">
        <f>IF(DM600=0,0,(DM599*DM600+DM601*DM602*6)/DM600)</f>
        <v>0</v>
      </c>
      <c r="DN598" s="353">
        <f>IF(DL598=0,0,(DM598-DL598)/DL598*100)</f>
        <v>0</v>
      </c>
      <c r="DO598" s="354">
        <f>IF(DO600=0,0,(DO599*DO600+DO601*DO602*6)/DO600)</f>
        <v>0</v>
      </c>
      <c r="DP598" s="354">
        <f>IF(DP600=0,0,(DP599*DP600+DP601*DP602*6)/DP600)</f>
        <v>0</v>
      </c>
      <c r="DQ598" s="353">
        <f>IF(DO598=0,0,(DP598-DO598)/DO598*100)</f>
        <v>0</v>
      </c>
      <c r="DR598" s="354">
        <f>IF(DR600=0,0,(DR599*DR600+DR601*DR602*6)/DR600)</f>
        <v>0</v>
      </c>
      <c r="DS598" s="354">
        <f>IF(DS600=0,0,(DS599*DS600+DS601*DS602*6)/DS600)</f>
        <v>0</v>
      </c>
      <c r="DT598" s="353">
        <f>IF(DR598=0,0,(DS598-DR598)/DR598*100)</f>
        <v>0</v>
      </c>
      <c r="DU598" s="354">
        <f>IF(DU600=0,0,(DU599*DU600+DU601*DU602*6)/DU600)</f>
        <v>0</v>
      </c>
      <c r="DV598" s="354">
        <f>IF(DV600=0,0,(DV599*DV600+DV601*DV602*6)/DV600)</f>
        <v>0</v>
      </c>
      <c r="DW598" s="353">
        <f>IF(DU598=0,0,(DV598-DU598)/DU598*100)</f>
        <v>0</v>
      </c>
      <c r="DX598" s="354">
        <f>IF(DX600=0,0,(DX599*DX600+DX601*DX602*6)/DX600)</f>
        <v>0</v>
      </c>
      <c r="DY598" s="354">
        <f>IF(DY600=0,0,(DY599*DY600+DY601*DY602*6)/DY600)</f>
        <v>0</v>
      </c>
      <c r="DZ598" s="353">
        <f>IF(DX598=0,0,(DY598-DX598)/DX598*100)</f>
        <v>0</v>
      </c>
      <c r="EA598" s="354">
        <f>IF(EA600=0,0,(EA599*EA600+EA601*EA602*6)/EA600)</f>
        <v>0</v>
      </c>
      <c r="EB598" s="354">
        <f>IF(EB600=0,0,(EB599*EB600+EB601*EB602*6)/EB600)</f>
        <v>0</v>
      </c>
      <c r="EC598" s="353">
        <f>IF(EA598=0,0,(EB598-EA598)/EA598*100)</f>
        <v>0</v>
      </c>
      <c r="ED598" s="354">
        <f>IF(ED600=0,0,(ED599*ED600+ED601*ED602*6)/ED600)</f>
        <v>0</v>
      </c>
      <c r="EE598" s="354">
        <f>IF(EE600=0,0,(EE599*EE600+EE601*EE602*6)/EE600)</f>
        <v>0</v>
      </c>
      <c r="EF598" s="353">
        <f>IF(ED598=0,0,(EE598-ED598)/ED598*100)</f>
        <v>0</v>
      </c>
      <c r="EG598" s="354">
        <f>IF(EG600=0,0,(EG599*EG600+EG601*EG602*6)/EG600)</f>
        <v>0</v>
      </c>
      <c r="EH598" s="354">
        <f>IF(EH600=0,0,(EH599*EH600+EH601*EH602*6)/EH600)</f>
        <v>0</v>
      </c>
      <c r="EI598" s="353">
        <f>IF(EG598=0,0,(EH598-EG598)/EG598*100)</f>
        <v>0</v>
      </c>
      <c r="EJ598" s="354">
        <f>IF(EJ600=0,0,(EJ599*EJ600+EJ601*EJ602*6)/EJ600)</f>
        <v>0</v>
      </c>
      <c r="EK598" s="354">
        <f>IF(EK600=0,0,(EK599*EK600+EK601*EK602*6)/EK600)</f>
        <v>0</v>
      </c>
      <c r="EL598" s="353">
        <f>IF(EJ598=0,0,(EK598-EJ598)/EJ598*100)</f>
        <v>0</v>
      </c>
      <c r="EM598" s="354">
        <f>IF(EM600=0,0,(EM599*EM600+EM601*EM602*6)/EM600)</f>
        <v>0</v>
      </c>
      <c r="EN598" s="354">
        <f>IF(EN600=0,0,(EN599*EN600+EN601*EN602*6)/EN600)</f>
        <v>0</v>
      </c>
      <c r="EO598" s="353">
        <f>IF(EM598=0,0,(EN598-EM598)/EM598*100)</f>
        <v>0</v>
      </c>
      <c r="EP598" s="354">
        <f>IF(EP600=0,0,(EP599*EP600+EP601*EP602*6)/EP600)</f>
        <v>0</v>
      </c>
      <c r="EQ598" s="354">
        <f>IF(EQ600=0,0,(EQ599*EQ600+EQ601*EQ602*6)/EQ600)</f>
        <v>0</v>
      </c>
      <c r="ER598" s="353">
        <f>IF(EP598=0,0,(EQ598-EP598)/EP598*100)</f>
        <v>0</v>
      </c>
      <c r="ES598" s="354">
        <f>IF(ES600=0,0,(ES599*ES600+ES601*ES602*6)/ES600)</f>
        <v>0</v>
      </c>
      <c r="ET598" s="354">
        <f>IF(ET600=0,0,(ET599*ET600+ET601*ET602*6)/ET600)</f>
        <v>0</v>
      </c>
      <c r="EU598" s="353">
        <f>IF(ES598=0,0,(ET598-ES598)/ES598*100)</f>
        <v>0</v>
      </c>
      <c r="EV598" s="354">
        <f>IF(EV600=0,0,(EV599*EV600+EV601*EV602*6)/EV600)</f>
        <v>0</v>
      </c>
      <c r="EW598" s="354">
        <f>IF(EW600=0,0,(EW599*EW600+EW601*EW602*6)/EW600)</f>
        <v>0</v>
      </c>
      <c r="EX598" s="353">
        <f>IF(EV598=0,0,(EW598-EV598)/EV598*100)</f>
        <v>0</v>
      </c>
      <c r="EY598" s="354">
        <f>IF(EY600=0,0,(EY599*EY600+EY601*EY602*6)/EY600)</f>
        <v>0</v>
      </c>
      <c r="EZ598" s="354">
        <f>IF(EZ600=0,0,(EZ599*EZ600+EZ601*EZ602*6)/EZ600)</f>
        <v>0</v>
      </c>
      <c r="FA598" s="353">
        <f>IF(EY598=0,0,(EZ598-EY598)/EY598*100)</f>
        <v>0</v>
      </c>
      <c r="FB598" s="354">
        <f>IF(FB600=0,0,(FB599*FB600+FB601*FB602*6)/FB600)</f>
        <v>0</v>
      </c>
      <c r="FC598" s="354">
        <f>IF(FC600=0,0,(FC599*FC600+FC601*FC602*6)/FC600)</f>
        <v>0</v>
      </c>
      <c r="FD598" s="353">
        <f>IF(FB598=0,0,(FC598-FB598)/FB598*100)</f>
        <v>0</v>
      </c>
      <c r="FE598" s="354">
        <f>IF(FE600=0,0,(FE599*FE600+FE601*FE602*6)/FE600)</f>
        <v>0</v>
      </c>
      <c r="FF598" s="354">
        <f>IF(FF600=0,0,(FF599*FF600+FF601*FF602*6)/FF600)</f>
        <v>0</v>
      </c>
      <c r="FG598" s="353">
        <f>IF(FE598=0,0,(FF598-FE598)/FE598*100)</f>
        <v>0</v>
      </c>
    </row>
    <row r="599" spans="1:163" s="509" customFormat="1" ht="15" customHeight="1" outlineLevel="1">
      <c r="A599" s="509" t="str">
        <f t="shared" si="127"/>
        <v>1</v>
      </c>
      <c r="C599" s="509" t="s">
        <v>1441</v>
      </c>
      <c r="D599" s="509" t="s">
        <v>1603</v>
      </c>
      <c r="G599" s="509" t="b">
        <f>F582="двухставочный"</f>
        <v>0</v>
      </c>
      <c r="L599" s="356" t="s">
        <v>669</v>
      </c>
      <c r="M599" s="499" t="s">
        <v>655</v>
      </c>
      <c r="N599" s="354"/>
      <c r="O599" s="354"/>
      <c r="P599" s="353">
        <f>IF(N599=0,0,(O599-N599)/N599*100)</f>
        <v>0</v>
      </c>
      <c r="Q599" s="354"/>
      <c r="R599" s="354"/>
      <c r="S599" s="353">
        <f>IF(Q599=0,0,(R599-Q599)/Q599*100)</f>
        <v>0</v>
      </c>
      <c r="T599" s="354"/>
      <c r="U599" s="354"/>
      <c r="V599" s="353">
        <f>IF(T599=0,0,(U599-T599)/T599*100)</f>
        <v>0</v>
      </c>
      <c r="W599" s="354"/>
      <c r="X599" s="354"/>
      <c r="Y599" s="353">
        <f>IF(W599=0,0,(X599-W599)/W599*100)</f>
        <v>0</v>
      </c>
      <c r="Z599" s="354"/>
      <c r="AA599" s="354"/>
      <c r="AB599" s="353">
        <f>IF(Z599=0,0,(AA599-Z599)/Z599*100)</f>
        <v>0</v>
      </c>
      <c r="AC599" s="354"/>
      <c r="AD599" s="354"/>
      <c r="AE599" s="353">
        <f>IF(AC599=0,0,(AD599-AC599)/AC599*100)</f>
        <v>0</v>
      </c>
      <c r="AF599" s="354"/>
      <c r="AG599" s="354"/>
      <c r="AH599" s="353">
        <f>IF(AF599=0,0,(AG599-AF599)/AF599*100)</f>
        <v>0</v>
      </c>
      <c r="AI599" s="354"/>
      <c r="AJ599" s="354"/>
      <c r="AK599" s="353">
        <f>IF(AI599=0,0,(AJ599-AI599)/AI599*100)</f>
        <v>0</v>
      </c>
      <c r="AL599" s="354"/>
      <c r="AM599" s="354"/>
      <c r="AN599" s="353">
        <f>IF(AL599=0,0,(AM599-AL599)/AL599*100)</f>
        <v>0</v>
      </c>
      <c r="AO599" s="354"/>
      <c r="AP599" s="354"/>
      <c r="AQ599" s="353">
        <f>IF(AO599=0,0,(AP599-AO599)/AO599*100)</f>
        <v>0</v>
      </c>
      <c r="AR599" s="354"/>
      <c r="AS599" s="354"/>
      <c r="AT599" s="353">
        <f>IF(AR599=0,0,(AS599-AR599)/AR599*100)</f>
        <v>0</v>
      </c>
      <c r="AU599" s="354"/>
      <c r="AV599" s="354"/>
      <c r="AW599" s="353">
        <f>IF(AU599=0,0,(AV599-AU599)/AU599*100)</f>
        <v>0</v>
      </c>
      <c r="AX599" s="354"/>
      <c r="AY599" s="354"/>
      <c r="AZ599" s="353">
        <f>IF(AX599=0,0,(AY599-AX599)/AX599*100)</f>
        <v>0</v>
      </c>
      <c r="BA599" s="354"/>
      <c r="BB599" s="354"/>
      <c r="BC599" s="353">
        <f>IF(BA599=0,0,(BB599-BA599)/BA599*100)</f>
        <v>0</v>
      </c>
      <c r="BD599" s="354"/>
      <c r="BE599" s="354"/>
      <c r="BF599" s="353">
        <f>IF(BD599=0,0,(BE599-BD599)/BD599*100)</f>
        <v>0</v>
      </c>
      <c r="BG599" s="354"/>
      <c r="BH599" s="354"/>
      <c r="BI599" s="353">
        <f>IF(BG599=0,0,(BH599-BG599)/BG599*100)</f>
        <v>0</v>
      </c>
      <c r="BJ599" s="354"/>
      <c r="BK599" s="354"/>
      <c r="BL599" s="353">
        <f>IF(BJ599=0,0,(BK599-BJ599)/BJ599*100)</f>
        <v>0</v>
      </c>
      <c r="BM599" s="354"/>
      <c r="BN599" s="354"/>
      <c r="BO599" s="353">
        <f>IF(BM599=0,0,(BN599-BM599)/BM599*100)</f>
        <v>0</v>
      </c>
      <c r="BP599" s="354"/>
      <c r="BQ599" s="354"/>
      <c r="BR599" s="353">
        <f>IF(BP599=0,0,(BQ599-BP599)/BP599*100)</f>
        <v>0</v>
      </c>
      <c r="BS599" s="354"/>
      <c r="BT599" s="354"/>
      <c r="BU599" s="353">
        <f>IF(BS599=0,0,(BT599-BS599)/BS599*100)</f>
        <v>0</v>
      </c>
      <c r="BV599" s="354"/>
      <c r="BW599" s="354"/>
      <c r="BX599" s="353">
        <f>IF(BV599=0,0,(BW599-BV599)/BV599*100)</f>
        <v>0</v>
      </c>
      <c r="BY599" s="354"/>
      <c r="BZ599" s="354"/>
      <c r="CA599" s="353">
        <f>IF(BY599=0,0,(BZ599-BY599)/BY599*100)</f>
        <v>0</v>
      </c>
      <c r="CB599" s="354"/>
      <c r="CC599" s="354"/>
      <c r="CD599" s="353">
        <f>IF(CB599=0,0,(CC599-CB599)/CB599*100)</f>
        <v>0</v>
      </c>
      <c r="CE599" s="354"/>
      <c r="CF599" s="354"/>
      <c r="CG599" s="353">
        <f>IF(CE599=0,0,(CF599-CE599)/CE599*100)</f>
        <v>0</v>
      </c>
      <c r="CH599" s="354"/>
      <c r="CI599" s="354"/>
      <c r="CJ599" s="353">
        <f>IF(CH599=0,0,(CI599-CH599)/CH599*100)</f>
        <v>0</v>
      </c>
      <c r="CK599" s="354"/>
      <c r="CL599" s="354"/>
      <c r="CM599" s="353">
        <f>IF(CK599=0,0,(CL599-CK599)/CK599*100)</f>
        <v>0</v>
      </c>
      <c r="CN599" s="354"/>
      <c r="CO599" s="354"/>
      <c r="CP599" s="353">
        <f>IF(CN599=0,0,(CO599-CN599)/CN599*100)</f>
        <v>0</v>
      </c>
      <c r="CQ599" s="354"/>
      <c r="CR599" s="354"/>
      <c r="CS599" s="353">
        <f>IF(CQ599=0,0,(CR599-CQ599)/CQ599*100)</f>
        <v>0</v>
      </c>
      <c r="CT599" s="354"/>
      <c r="CU599" s="354"/>
      <c r="CV599" s="353">
        <f>IF(CT599=0,0,(CU599-CT599)/CT599*100)</f>
        <v>0</v>
      </c>
      <c r="CW599" s="354"/>
      <c r="CX599" s="354"/>
      <c r="CY599" s="353">
        <f>IF(CW599=0,0,(CX599-CW599)/CW599*100)</f>
        <v>0</v>
      </c>
      <c r="CZ599" s="354"/>
      <c r="DA599" s="354"/>
      <c r="DB599" s="353">
        <f>IF(CZ599=0,0,(DA599-CZ599)/CZ599*100)</f>
        <v>0</v>
      </c>
      <c r="DC599" s="354"/>
      <c r="DD599" s="354"/>
      <c r="DE599" s="353">
        <f>IF(DC599=0,0,(DD599-DC599)/DC599*100)</f>
        <v>0</v>
      </c>
      <c r="DF599" s="354"/>
      <c r="DG599" s="354"/>
      <c r="DH599" s="353">
        <f>IF(DF599=0,0,(DG599-DF599)/DF599*100)</f>
        <v>0</v>
      </c>
      <c r="DI599" s="354"/>
      <c r="DJ599" s="354"/>
      <c r="DK599" s="353">
        <f>IF(DI599=0,0,(DJ599-DI599)/DI599*100)</f>
        <v>0</v>
      </c>
      <c r="DL599" s="354"/>
      <c r="DM599" s="354"/>
      <c r="DN599" s="353">
        <f>IF(DL599=0,0,(DM599-DL599)/DL599*100)</f>
        <v>0</v>
      </c>
      <c r="DO599" s="354"/>
      <c r="DP599" s="354"/>
      <c r="DQ599" s="353">
        <f>IF(DO599=0,0,(DP599-DO599)/DO599*100)</f>
        <v>0</v>
      </c>
      <c r="DR599" s="354"/>
      <c r="DS599" s="354"/>
      <c r="DT599" s="353">
        <f>IF(DR599=0,0,(DS599-DR599)/DR599*100)</f>
        <v>0</v>
      </c>
      <c r="DU599" s="354"/>
      <c r="DV599" s="354"/>
      <c r="DW599" s="353">
        <f>IF(DU599=0,0,(DV599-DU599)/DU599*100)</f>
        <v>0</v>
      </c>
      <c r="DX599" s="354"/>
      <c r="DY599" s="354"/>
      <c r="DZ599" s="353">
        <f>IF(DX599=0,0,(DY599-DX599)/DX599*100)</f>
        <v>0</v>
      </c>
      <c r="EA599" s="354"/>
      <c r="EB599" s="354"/>
      <c r="EC599" s="353">
        <f>IF(EA599=0,0,(EB599-EA599)/EA599*100)</f>
        <v>0</v>
      </c>
      <c r="ED599" s="354"/>
      <c r="EE599" s="354"/>
      <c r="EF599" s="353">
        <f>IF(ED599=0,0,(EE599-ED599)/ED599*100)</f>
        <v>0</v>
      </c>
      <c r="EG599" s="354"/>
      <c r="EH599" s="354"/>
      <c r="EI599" s="353">
        <f>IF(EG599=0,0,(EH599-EG599)/EG599*100)</f>
        <v>0</v>
      </c>
      <c r="EJ599" s="354"/>
      <c r="EK599" s="354"/>
      <c r="EL599" s="353">
        <f>IF(EJ599=0,0,(EK599-EJ599)/EJ599*100)</f>
        <v>0</v>
      </c>
      <c r="EM599" s="354"/>
      <c r="EN599" s="354"/>
      <c r="EO599" s="353">
        <f>IF(EM599=0,0,(EN599-EM599)/EM599*100)</f>
        <v>0</v>
      </c>
      <c r="EP599" s="354"/>
      <c r="EQ599" s="354"/>
      <c r="ER599" s="353">
        <f>IF(EP599=0,0,(EQ599-EP599)/EP599*100)</f>
        <v>0</v>
      </c>
      <c r="ES599" s="354"/>
      <c r="ET599" s="354"/>
      <c r="EU599" s="353">
        <f>IF(ES599=0,0,(ET599-ES599)/ES599*100)</f>
        <v>0</v>
      </c>
      <c r="EV599" s="354"/>
      <c r="EW599" s="354"/>
      <c r="EX599" s="353">
        <f>IF(EV599=0,0,(EW599-EV599)/EV599*100)</f>
        <v>0</v>
      </c>
      <c r="EY599" s="354"/>
      <c r="EZ599" s="354"/>
      <c r="FA599" s="353">
        <f>IF(EY599=0,0,(EZ599-EY599)/EY599*100)</f>
        <v>0</v>
      </c>
      <c r="FB599" s="354"/>
      <c r="FC599" s="354"/>
      <c r="FD599" s="353">
        <f>IF(FB599=0,0,(FC599-FB599)/FB599*100)</f>
        <v>0</v>
      </c>
      <c r="FE599" s="354"/>
      <c r="FF599" s="354"/>
      <c r="FG599" s="353">
        <f>IF(FE599=0,0,(FF599-FE599)/FE599*100)</f>
        <v>0</v>
      </c>
    </row>
    <row r="600" spans="1:163" s="509" customFormat="1" ht="15" customHeight="1" outlineLevel="1">
      <c r="A600" s="509" t="str">
        <f t="shared" si="127"/>
        <v>1</v>
      </c>
      <c r="B600" s="104" t="s">
        <v>1180</v>
      </c>
      <c r="C600" s="509" t="s">
        <v>1568</v>
      </c>
      <c r="D600" s="509" t="s">
        <v>1603</v>
      </c>
      <c r="G600" s="509" t="b">
        <f>F582="двухставочный"</f>
        <v>0</v>
      </c>
      <c r="L600" s="356" t="s">
        <v>670</v>
      </c>
      <c r="M600" s="499" t="s">
        <v>311</v>
      </c>
      <c r="N600" s="493" t="e">
        <f>SUMIFS(INDEX(Калькуляция!$T$15:$AM$266,,MATCH(N$3,Калькуляция!$T$3:$AM$3,0)),Калькуляция!$A$15:$A$266,$A600,Калькуляция!$B$15:$B$266,$B600)</f>
        <v>#N/A</v>
      </c>
      <c r="O600" s="493" t="e">
        <f>SUMIFS(INDEX(Калькуляция!$T$15:$AM$266,,MATCH(O$3,Калькуляция!$T$3:$AM$3,0)),Калькуляция!$A$15:$A$266,$A600,Калькуляция!$B$15:$B$266,$B600)</f>
        <v>#N/A</v>
      </c>
      <c r="P600" s="501" t="e">
        <f>IF(N600=0,0,(O600-N600)/N600*100)</f>
        <v>#N/A</v>
      </c>
      <c r="Q600" s="493" t="e">
        <f>SUMIFS(INDEX(Калькуляция!$T$15:$AM$266,,MATCH(Q$3,Калькуляция!$T$3:$AM$3,0)),Калькуляция!$A$15:$A$266,$A600,Калькуляция!$B$15:$B$266,$B600)</f>
        <v>#N/A</v>
      </c>
      <c r="R600" s="493" t="e">
        <f>SUMIFS(INDEX(Калькуляция!$T$15:$AM$266,,MATCH(R$3,Калькуляция!$T$3:$AM$3,0)),Калькуляция!$A$15:$A$266,$A600,Калькуляция!$B$15:$B$266,$B600)</f>
        <v>#N/A</v>
      </c>
      <c r="S600" s="501" t="e">
        <f>IF(Q600=0,0,(R600-Q600)/Q600*100)</f>
        <v>#N/A</v>
      </c>
      <c r="T600" s="493" t="e">
        <f>SUMIFS(INDEX(Калькуляция!$T$15:$AM$266,,MATCH(T$3,Калькуляция!$T$3:$AM$3,0)),Калькуляция!$A$15:$A$266,$A600,Калькуляция!$B$15:$B$266,$B600)</f>
        <v>#N/A</v>
      </c>
      <c r="U600" s="493" t="e">
        <f>SUMIFS(INDEX(Калькуляция!$T$15:$AM$266,,MATCH(U$3,Калькуляция!$T$3:$AM$3,0)),Калькуляция!$A$15:$A$266,$A600,Калькуляция!$B$15:$B$266,$B600)</f>
        <v>#N/A</v>
      </c>
      <c r="V600" s="501" t="e">
        <f>IF(T600=0,0,(U600-T600)/T600*100)</f>
        <v>#N/A</v>
      </c>
      <c r="W600" s="493" t="e">
        <f>SUMIFS(INDEX(Калькуляция!$T$15:$AM$266,,MATCH(W$3,Калькуляция!$T$3:$AM$3,0)),Калькуляция!$A$15:$A$266,$A600,Калькуляция!$B$15:$B$266,$B600)</f>
        <v>#N/A</v>
      </c>
      <c r="X600" s="493" t="e">
        <f>SUMIFS(INDEX(Калькуляция!$T$15:$AM$266,,MATCH(X$3,Калькуляция!$T$3:$AM$3,0)),Калькуляция!$A$15:$A$266,$A600,Калькуляция!$B$15:$B$266,$B600)</f>
        <v>#N/A</v>
      </c>
      <c r="Y600" s="501" t="e">
        <f>IF(W600=0,0,(X600-W600)/W600*100)</f>
        <v>#N/A</v>
      </c>
      <c r="Z600" s="493" t="e">
        <f>SUMIFS(INDEX(Калькуляция!$T$15:$AM$266,,MATCH(Z$3,Калькуляция!$T$3:$AM$3,0)),Калькуляция!$A$15:$A$266,$A600,Калькуляция!$B$15:$B$266,$B600)</f>
        <v>#N/A</v>
      </c>
      <c r="AA600" s="493" t="e">
        <f>SUMIFS(INDEX(Калькуляция!$T$15:$AM$266,,MATCH(AA$3,Калькуляция!$T$3:$AM$3,0)),Калькуляция!$A$15:$A$266,$A600,Калькуляция!$B$15:$B$266,$B600)</f>
        <v>#N/A</v>
      </c>
      <c r="AB600" s="501" t="e">
        <f>IF(Z600=0,0,(AA600-Z600)/Z600*100)</f>
        <v>#N/A</v>
      </c>
      <c r="AC600" s="493" t="e">
        <f>SUMIFS(INDEX(Калькуляция!$T$15:$AM$266,,MATCH(AC$3,Калькуляция!$T$3:$AM$3,0)),Калькуляция!$A$15:$A$266,$A600,Калькуляция!$B$15:$B$266,$B600)</f>
        <v>#N/A</v>
      </c>
      <c r="AD600" s="493" t="e">
        <f>SUMIFS(INDEX(Калькуляция!$T$15:$AM$266,,MATCH(AD$3,Калькуляция!$T$3:$AM$3,0)),Калькуляция!$A$15:$A$266,$A600,Калькуляция!$B$15:$B$266,$B600)</f>
        <v>#N/A</v>
      </c>
      <c r="AE600" s="501" t="e">
        <f>IF(AC600=0,0,(AD600-AC600)/AC600*100)</f>
        <v>#N/A</v>
      </c>
      <c r="AF600" s="493" t="e">
        <f>SUMIFS(INDEX(Калькуляция!$T$15:$AM$266,,MATCH(AF$3,Калькуляция!$T$3:$AM$3,0)),Калькуляция!$A$15:$A$266,$A600,Калькуляция!$B$15:$B$266,$B600)</f>
        <v>#N/A</v>
      </c>
      <c r="AG600" s="493" t="e">
        <f>SUMIFS(INDEX(Калькуляция!$T$15:$AM$266,,MATCH(AG$3,Калькуляция!$T$3:$AM$3,0)),Калькуляция!$A$15:$A$266,$A600,Калькуляция!$B$15:$B$266,$B600)</f>
        <v>#N/A</v>
      </c>
      <c r="AH600" s="501" t="e">
        <f>IF(AF600=0,0,(AG600-AF600)/AF600*100)</f>
        <v>#N/A</v>
      </c>
      <c r="AI600" s="493" t="e">
        <f>SUMIFS(INDEX(Калькуляция!$T$15:$AM$266,,MATCH(AI$3,Калькуляция!$T$3:$AM$3,0)),Калькуляция!$A$15:$A$266,$A600,Калькуляция!$B$15:$B$266,$B600)</f>
        <v>#N/A</v>
      </c>
      <c r="AJ600" s="493" t="e">
        <f>SUMIFS(INDEX(Калькуляция!$T$15:$AM$266,,MATCH(AJ$3,Калькуляция!$T$3:$AM$3,0)),Калькуляция!$A$15:$A$266,$A600,Калькуляция!$B$15:$B$266,$B600)</f>
        <v>#N/A</v>
      </c>
      <c r="AK600" s="501" t="e">
        <f>IF(AI600=0,0,(AJ600-AI600)/AI600*100)</f>
        <v>#N/A</v>
      </c>
      <c r="AL600" s="493" t="e">
        <f>SUMIFS(INDEX(Калькуляция!$T$15:$AM$266,,MATCH(AL$3,Калькуляция!$T$3:$AM$3,0)),Калькуляция!$A$15:$A$266,$A600,Калькуляция!$B$15:$B$266,$B600)</f>
        <v>#N/A</v>
      </c>
      <c r="AM600" s="493" t="e">
        <f>SUMIFS(INDEX(Калькуляция!$T$15:$AM$266,,MATCH(AM$3,Калькуляция!$T$3:$AM$3,0)),Калькуляция!$A$15:$A$266,$A600,Калькуляция!$B$15:$B$266,$B600)</f>
        <v>#N/A</v>
      </c>
      <c r="AN600" s="501" t="e">
        <f>IF(AL600=0,0,(AM600-AL600)/AL600*100)</f>
        <v>#N/A</v>
      </c>
      <c r="AO600" s="493" t="e">
        <f>SUMIFS(INDEX(Калькуляция!$T$15:$AM$266,,MATCH(AO$3,Калькуляция!$T$3:$AM$3,0)),Калькуляция!$A$15:$A$266,$A600,Калькуляция!$B$15:$B$266,$B600)</f>
        <v>#N/A</v>
      </c>
      <c r="AP600" s="493" t="e">
        <f>SUMIFS(INDEX(Калькуляция!$T$15:$AM$266,,MATCH(AP$3,Калькуляция!$T$3:$AM$3,0)),Калькуляция!$A$15:$A$266,$A600,Калькуляция!$B$15:$B$266,$B600)</f>
        <v>#N/A</v>
      </c>
      <c r="AQ600" s="501" t="e">
        <f>IF(AO600=0,0,(AP600-AO600)/AO600*100)</f>
        <v>#N/A</v>
      </c>
      <c r="AR600" s="493"/>
      <c r="AS600" s="493"/>
      <c r="AT600" s="501">
        <f>IF(AR600=0,0,(AS600-AR600)/AR600*100)</f>
        <v>0</v>
      </c>
      <c r="AU600" s="493"/>
      <c r="AV600" s="493"/>
      <c r="AW600" s="501">
        <f>IF(AU600=0,0,(AV600-AU600)/AU600*100)</f>
        <v>0</v>
      </c>
      <c r="AX600" s="493"/>
      <c r="AY600" s="493"/>
      <c r="AZ600" s="501">
        <f>IF(AX600=0,0,(AY600-AX600)/AX600*100)</f>
        <v>0</v>
      </c>
      <c r="BA600" s="493"/>
      <c r="BB600" s="493"/>
      <c r="BC600" s="501">
        <f>IF(BA600=0,0,(BB600-BA600)/BA600*100)</f>
        <v>0</v>
      </c>
      <c r="BD600" s="493"/>
      <c r="BE600" s="493"/>
      <c r="BF600" s="501">
        <f>IF(BD600=0,0,(BE600-BD600)/BD600*100)</f>
        <v>0</v>
      </c>
      <c r="BG600" s="493"/>
      <c r="BH600" s="493"/>
      <c r="BI600" s="501">
        <f>IF(BG600=0,0,(BH600-BG600)/BG600*100)</f>
        <v>0</v>
      </c>
      <c r="BJ600" s="493"/>
      <c r="BK600" s="493"/>
      <c r="BL600" s="501">
        <f>IF(BJ600=0,0,(BK600-BJ600)/BJ600*100)</f>
        <v>0</v>
      </c>
      <c r="BM600" s="493"/>
      <c r="BN600" s="493"/>
      <c r="BO600" s="501">
        <f>IF(BM600=0,0,(BN600-BM600)/BM600*100)</f>
        <v>0</v>
      </c>
      <c r="BP600" s="493"/>
      <c r="BQ600" s="493"/>
      <c r="BR600" s="501">
        <f>IF(BP600=0,0,(BQ600-BP600)/BP600*100)</f>
        <v>0</v>
      </c>
      <c r="BS600" s="493"/>
      <c r="BT600" s="493"/>
      <c r="BU600" s="501">
        <f>IF(BS600=0,0,(BT600-BS600)/BS600*100)</f>
        <v>0</v>
      </c>
      <c r="BV600" s="493"/>
      <c r="BW600" s="493"/>
      <c r="BX600" s="501">
        <f>IF(BV600=0,0,(BW600-BV600)/BV600*100)</f>
        <v>0</v>
      </c>
      <c r="BY600" s="493"/>
      <c r="BZ600" s="493"/>
      <c r="CA600" s="501">
        <f>IF(BY600=0,0,(BZ600-BY600)/BY600*100)</f>
        <v>0</v>
      </c>
      <c r="CB600" s="493"/>
      <c r="CC600" s="493"/>
      <c r="CD600" s="501">
        <f>IF(CB600=0,0,(CC600-CB600)/CB600*100)</f>
        <v>0</v>
      </c>
      <c r="CE600" s="493"/>
      <c r="CF600" s="493"/>
      <c r="CG600" s="501">
        <f>IF(CE600=0,0,(CF600-CE600)/CE600*100)</f>
        <v>0</v>
      </c>
      <c r="CH600" s="493"/>
      <c r="CI600" s="493"/>
      <c r="CJ600" s="501">
        <f>IF(CH600=0,0,(CI600-CH600)/CH600*100)</f>
        <v>0</v>
      </c>
      <c r="CK600" s="493"/>
      <c r="CL600" s="493"/>
      <c r="CM600" s="501">
        <f>IF(CK600=0,0,(CL600-CK600)/CK600*100)</f>
        <v>0</v>
      </c>
      <c r="CN600" s="493"/>
      <c r="CO600" s="493"/>
      <c r="CP600" s="501">
        <f>IF(CN600=0,0,(CO600-CN600)/CN600*100)</f>
        <v>0</v>
      </c>
      <c r="CQ600" s="493"/>
      <c r="CR600" s="493"/>
      <c r="CS600" s="501">
        <f>IF(CQ600=0,0,(CR600-CQ600)/CQ600*100)</f>
        <v>0</v>
      </c>
      <c r="CT600" s="493"/>
      <c r="CU600" s="493"/>
      <c r="CV600" s="501">
        <f>IF(CT600=0,0,(CU600-CT600)/CT600*100)</f>
        <v>0</v>
      </c>
      <c r="CW600" s="493"/>
      <c r="CX600" s="493"/>
      <c r="CY600" s="501">
        <f>IF(CW600=0,0,(CX600-CW600)/CW600*100)</f>
        <v>0</v>
      </c>
      <c r="CZ600" s="493"/>
      <c r="DA600" s="493"/>
      <c r="DB600" s="501">
        <f>IF(CZ600=0,0,(DA600-CZ600)/CZ600*100)</f>
        <v>0</v>
      </c>
      <c r="DC600" s="493"/>
      <c r="DD600" s="493"/>
      <c r="DE600" s="501">
        <f>IF(DC600=0,0,(DD600-DC600)/DC600*100)</f>
        <v>0</v>
      </c>
      <c r="DF600" s="493"/>
      <c r="DG600" s="493"/>
      <c r="DH600" s="501">
        <f>IF(DF600=0,0,(DG600-DF600)/DF600*100)</f>
        <v>0</v>
      </c>
      <c r="DI600" s="493"/>
      <c r="DJ600" s="493"/>
      <c r="DK600" s="501">
        <f>IF(DI600=0,0,(DJ600-DI600)/DI600*100)</f>
        <v>0</v>
      </c>
      <c r="DL600" s="493"/>
      <c r="DM600" s="493"/>
      <c r="DN600" s="501">
        <f>IF(DL600=0,0,(DM600-DL600)/DL600*100)</f>
        <v>0</v>
      </c>
      <c r="DO600" s="493"/>
      <c r="DP600" s="493"/>
      <c r="DQ600" s="501">
        <f>IF(DO600=0,0,(DP600-DO600)/DO600*100)</f>
        <v>0</v>
      </c>
      <c r="DR600" s="493"/>
      <c r="DS600" s="493"/>
      <c r="DT600" s="501">
        <f>IF(DR600=0,0,(DS600-DR600)/DR600*100)</f>
        <v>0</v>
      </c>
      <c r="DU600" s="493"/>
      <c r="DV600" s="493"/>
      <c r="DW600" s="501">
        <f>IF(DU600=0,0,(DV600-DU600)/DU600*100)</f>
        <v>0</v>
      </c>
      <c r="DX600" s="493"/>
      <c r="DY600" s="493"/>
      <c r="DZ600" s="501">
        <f>IF(DX600=0,0,(DY600-DX600)/DX600*100)</f>
        <v>0</v>
      </c>
      <c r="EA600" s="493"/>
      <c r="EB600" s="493"/>
      <c r="EC600" s="501">
        <f>IF(EA600=0,0,(EB600-EA600)/EA600*100)</f>
        <v>0</v>
      </c>
      <c r="ED600" s="493"/>
      <c r="EE600" s="493"/>
      <c r="EF600" s="501">
        <f>IF(ED600=0,0,(EE600-ED600)/ED600*100)</f>
        <v>0</v>
      </c>
      <c r="EG600" s="493"/>
      <c r="EH600" s="493"/>
      <c r="EI600" s="501">
        <f>IF(EG600=0,0,(EH600-EG600)/EG600*100)</f>
        <v>0</v>
      </c>
      <c r="EJ600" s="493"/>
      <c r="EK600" s="493"/>
      <c r="EL600" s="501">
        <f>IF(EJ600=0,0,(EK600-EJ600)/EJ600*100)</f>
        <v>0</v>
      </c>
      <c r="EM600" s="493"/>
      <c r="EN600" s="493"/>
      <c r="EO600" s="501">
        <f>IF(EM600=0,0,(EN600-EM600)/EM600*100)</f>
        <v>0</v>
      </c>
      <c r="EP600" s="493"/>
      <c r="EQ600" s="493"/>
      <c r="ER600" s="501">
        <f>IF(EP600=0,0,(EQ600-EP600)/EP600*100)</f>
        <v>0</v>
      </c>
      <c r="ES600" s="493"/>
      <c r="ET600" s="493"/>
      <c r="EU600" s="501">
        <f>IF(ES600=0,0,(ET600-ES600)/ES600*100)</f>
        <v>0</v>
      </c>
      <c r="EV600" s="493"/>
      <c r="EW600" s="493"/>
      <c r="EX600" s="501">
        <f>IF(EV600=0,0,(EW600-EV600)/EV600*100)</f>
        <v>0</v>
      </c>
      <c r="EY600" s="493"/>
      <c r="EZ600" s="493"/>
      <c r="FA600" s="501">
        <f>IF(EY600=0,0,(EZ600-EY600)/EY600*100)</f>
        <v>0</v>
      </c>
      <c r="FB600" s="493"/>
      <c r="FC600" s="493"/>
      <c r="FD600" s="501">
        <f>IF(FB600=0,0,(FC600-FB600)/FB600*100)</f>
        <v>0</v>
      </c>
      <c r="FE600" s="493"/>
      <c r="FF600" s="493"/>
      <c r="FG600" s="501">
        <f>IF(FE600=0,0,(FF600-FE600)/FE600*100)</f>
        <v>0</v>
      </c>
    </row>
    <row r="601" spans="1:163" s="509" customFormat="1" ht="24.75" customHeight="1" outlineLevel="1">
      <c r="A601" s="509" t="str">
        <f t="shared" si="127"/>
        <v>1</v>
      </c>
      <c r="C601" s="509" t="s">
        <v>1569</v>
      </c>
      <c r="D601" s="509" t="s">
        <v>1603</v>
      </c>
      <c r="G601" s="509" t="b">
        <f>F582="двухставочный"</f>
        <v>0</v>
      </c>
      <c r="L601" s="356" t="s">
        <v>671</v>
      </c>
      <c r="M601" s="499" t="s">
        <v>672</v>
      </c>
      <c r="N601" s="354"/>
      <c r="O601" s="354"/>
      <c r="P601" s="353">
        <f>IF(N601=0,0,(O601-N601)/N601*100)</f>
        <v>0</v>
      </c>
      <c r="Q601" s="354"/>
      <c r="R601" s="354"/>
      <c r="S601" s="353">
        <f>IF(Q601=0,0,(R601-Q601)/Q601*100)</f>
        <v>0</v>
      </c>
      <c r="T601" s="354"/>
      <c r="U601" s="354"/>
      <c r="V601" s="353">
        <f>IF(T601=0,0,(U601-T601)/T601*100)</f>
        <v>0</v>
      </c>
      <c r="W601" s="354"/>
      <c r="X601" s="354"/>
      <c r="Y601" s="353">
        <f>IF(W601=0,0,(X601-W601)/W601*100)</f>
        <v>0</v>
      </c>
      <c r="Z601" s="354"/>
      <c r="AA601" s="354"/>
      <c r="AB601" s="353">
        <f>IF(Z601=0,0,(AA601-Z601)/Z601*100)</f>
        <v>0</v>
      </c>
      <c r="AC601" s="354"/>
      <c r="AD601" s="354"/>
      <c r="AE601" s="353">
        <f>IF(AC601=0,0,(AD601-AC601)/AC601*100)</f>
        <v>0</v>
      </c>
      <c r="AF601" s="354"/>
      <c r="AG601" s="354"/>
      <c r="AH601" s="353">
        <f>IF(AF601=0,0,(AG601-AF601)/AF601*100)</f>
        <v>0</v>
      </c>
      <c r="AI601" s="354"/>
      <c r="AJ601" s="354"/>
      <c r="AK601" s="353">
        <f>IF(AI601=0,0,(AJ601-AI601)/AI601*100)</f>
        <v>0</v>
      </c>
      <c r="AL601" s="354"/>
      <c r="AM601" s="354"/>
      <c r="AN601" s="353">
        <f>IF(AL601=0,0,(AM601-AL601)/AL601*100)</f>
        <v>0</v>
      </c>
      <c r="AO601" s="354"/>
      <c r="AP601" s="354"/>
      <c r="AQ601" s="353">
        <f>IF(AO601=0,0,(AP601-AO601)/AO601*100)</f>
        <v>0</v>
      </c>
      <c r="AR601" s="354"/>
      <c r="AS601" s="354"/>
      <c r="AT601" s="353">
        <f>IF(AR601=0,0,(AS601-AR601)/AR601*100)</f>
        <v>0</v>
      </c>
      <c r="AU601" s="354"/>
      <c r="AV601" s="354"/>
      <c r="AW601" s="353">
        <f>IF(AU601=0,0,(AV601-AU601)/AU601*100)</f>
        <v>0</v>
      </c>
      <c r="AX601" s="354"/>
      <c r="AY601" s="354"/>
      <c r="AZ601" s="353">
        <f>IF(AX601=0,0,(AY601-AX601)/AX601*100)</f>
        <v>0</v>
      </c>
      <c r="BA601" s="354"/>
      <c r="BB601" s="354"/>
      <c r="BC601" s="353">
        <f>IF(BA601=0,0,(BB601-BA601)/BA601*100)</f>
        <v>0</v>
      </c>
      <c r="BD601" s="354"/>
      <c r="BE601" s="354"/>
      <c r="BF601" s="353">
        <f>IF(BD601=0,0,(BE601-BD601)/BD601*100)</f>
        <v>0</v>
      </c>
      <c r="BG601" s="354"/>
      <c r="BH601" s="354"/>
      <c r="BI601" s="353">
        <f>IF(BG601=0,0,(BH601-BG601)/BG601*100)</f>
        <v>0</v>
      </c>
      <c r="BJ601" s="354"/>
      <c r="BK601" s="354"/>
      <c r="BL601" s="353">
        <f>IF(BJ601=0,0,(BK601-BJ601)/BJ601*100)</f>
        <v>0</v>
      </c>
      <c r="BM601" s="354"/>
      <c r="BN601" s="354"/>
      <c r="BO601" s="353">
        <f>IF(BM601=0,0,(BN601-BM601)/BM601*100)</f>
        <v>0</v>
      </c>
      <c r="BP601" s="354"/>
      <c r="BQ601" s="354"/>
      <c r="BR601" s="353">
        <f>IF(BP601=0,0,(BQ601-BP601)/BP601*100)</f>
        <v>0</v>
      </c>
      <c r="BS601" s="354"/>
      <c r="BT601" s="354"/>
      <c r="BU601" s="353">
        <f>IF(BS601=0,0,(BT601-BS601)/BS601*100)</f>
        <v>0</v>
      </c>
      <c r="BV601" s="354"/>
      <c r="BW601" s="354"/>
      <c r="BX601" s="353">
        <f>IF(BV601=0,0,(BW601-BV601)/BV601*100)</f>
        <v>0</v>
      </c>
      <c r="BY601" s="354"/>
      <c r="BZ601" s="354"/>
      <c r="CA601" s="353">
        <f>IF(BY601=0,0,(BZ601-BY601)/BY601*100)</f>
        <v>0</v>
      </c>
      <c r="CB601" s="354"/>
      <c r="CC601" s="354"/>
      <c r="CD601" s="353">
        <f>IF(CB601=0,0,(CC601-CB601)/CB601*100)</f>
        <v>0</v>
      </c>
      <c r="CE601" s="354"/>
      <c r="CF601" s="354"/>
      <c r="CG601" s="353">
        <f>IF(CE601=0,0,(CF601-CE601)/CE601*100)</f>
        <v>0</v>
      </c>
      <c r="CH601" s="354"/>
      <c r="CI601" s="354"/>
      <c r="CJ601" s="353">
        <f>IF(CH601=0,0,(CI601-CH601)/CH601*100)</f>
        <v>0</v>
      </c>
      <c r="CK601" s="354"/>
      <c r="CL601" s="354"/>
      <c r="CM601" s="353">
        <f>IF(CK601=0,0,(CL601-CK601)/CK601*100)</f>
        <v>0</v>
      </c>
      <c r="CN601" s="354"/>
      <c r="CO601" s="354"/>
      <c r="CP601" s="353">
        <f>IF(CN601=0,0,(CO601-CN601)/CN601*100)</f>
        <v>0</v>
      </c>
      <c r="CQ601" s="354"/>
      <c r="CR601" s="354"/>
      <c r="CS601" s="353">
        <f>IF(CQ601=0,0,(CR601-CQ601)/CQ601*100)</f>
        <v>0</v>
      </c>
      <c r="CT601" s="354"/>
      <c r="CU601" s="354"/>
      <c r="CV601" s="353">
        <f>IF(CT601=0,0,(CU601-CT601)/CT601*100)</f>
        <v>0</v>
      </c>
      <c r="CW601" s="354"/>
      <c r="CX601" s="354"/>
      <c r="CY601" s="353">
        <f>IF(CW601=0,0,(CX601-CW601)/CW601*100)</f>
        <v>0</v>
      </c>
      <c r="CZ601" s="354"/>
      <c r="DA601" s="354"/>
      <c r="DB601" s="353">
        <f>IF(CZ601=0,0,(DA601-CZ601)/CZ601*100)</f>
        <v>0</v>
      </c>
      <c r="DC601" s="354"/>
      <c r="DD601" s="354"/>
      <c r="DE601" s="353">
        <f>IF(DC601=0,0,(DD601-DC601)/DC601*100)</f>
        <v>0</v>
      </c>
      <c r="DF601" s="354"/>
      <c r="DG601" s="354"/>
      <c r="DH601" s="353">
        <f>IF(DF601=0,0,(DG601-DF601)/DF601*100)</f>
        <v>0</v>
      </c>
      <c r="DI601" s="354"/>
      <c r="DJ601" s="354"/>
      <c r="DK601" s="353">
        <f>IF(DI601=0,0,(DJ601-DI601)/DI601*100)</f>
        <v>0</v>
      </c>
      <c r="DL601" s="354"/>
      <c r="DM601" s="354"/>
      <c r="DN601" s="353">
        <f>IF(DL601=0,0,(DM601-DL601)/DL601*100)</f>
        <v>0</v>
      </c>
      <c r="DO601" s="354"/>
      <c r="DP601" s="354"/>
      <c r="DQ601" s="353">
        <f>IF(DO601=0,0,(DP601-DO601)/DO601*100)</f>
        <v>0</v>
      </c>
      <c r="DR601" s="354"/>
      <c r="DS601" s="354"/>
      <c r="DT601" s="353">
        <f>IF(DR601=0,0,(DS601-DR601)/DR601*100)</f>
        <v>0</v>
      </c>
      <c r="DU601" s="354"/>
      <c r="DV601" s="354"/>
      <c r="DW601" s="353">
        <f>IF(DU601=0,0,(DV601-DU601)/DU601*100)</f>
        <v>0</v>
      </c>
      <c r="DX601" s="354"/>
      <c r="DY601" s="354"/>
      <c r="DZ601" s="353">
        <f>IF(DX601=0,0,(DY601-DX601)/DX601*100)</f>
        <v>0</v>
      </c>
      <c r="EA601" s="354"/>
      <c r="EB601" s="354"/>
      <c r="EC601" s="353">
        <f>IF(EA601=0,0,(EB601-EA601)/EA601*100)</f>
        <v>0</v>
      </c>
      <c r="ED601" s="354"/>
      <c r="EE601" s="354"/>
      <c r="EF601" s="353">
        <f>IF(ED601=0,0,(EE601-ED601)/ED601*100)</f>
        <v>0</v>
      </c>
      <c r="EG601" s="354"/>
      <c r="EH601" s="354"/>
      <c r="EI601" s="353">
        <f>IF(EG601=0,0,(EH601-EG601)/EG601*100)</f>
        <v>0</v>
      </c>
      <c r="EJ601" s="354"/>
      <c r="EK601" s="354"/>
      <c r="EL601" s="353">
        <f>IF(EJ601=0,0,(EK601-EJ601)/EJ601*100)</f>
        <v>0</v>
      </c>
      <c r="EM601" s="354"/>
      <c r="EN601" s="354"/>
      <c r="EO601" s="353">
        <f>IF(EM601=0,0,(EN601-EM601)/EM601*100)</f>
        <v>0</v>
      </c>
      <c r="EP601" s="354"/>
      <c r="EQ601" s="354"/>
      <c r="ER601" s="353">
        <f>IF(EP601=0,0,(EQ601-EP601)/EP601*100)</f>
        <v>0</v>
      </c>
      <c r="ES601" s="354"/>
      <c r="ET601" s="354"/>
      <c r="EU601" s="353">
        <f>IF(ES601=0,0,(ET601-ES601)/ES601*100)</f>
        <v>0</v>
      </c>
      <c r="EV601" s="354"/>
      <c r="EW601" s="354"/>
      <c r="EX601" s="353">
        <f>IF(EV601=0,0,(EW601-EV601)/EV601*100)</f>
        <v>0</v>
      </c>
      <c r="EY601" s="354"/>
      <c r="EZ601" s="354"/>
      <c r="FA601" s="353">
        <f>IF(EY601=0,0,(EZ601-EY601)/EY601*100)</f>
        <v>0</v>
      </c>
      <c r="FB601" s="354"/>
      <c r="FC601" s="354"/>
      <c r="FD601" s="353">
        <f>IF(FB601=0,0,(FC601-FB601)/FB601*100)</f>
        <v>0</v>
      </c>
      <c r="FE601" s="354"/>
      <c r="FF601" s="354"/>
      <c r="FG601" s="353">
        <f>IF(FE601=0,0,(FF601-FE601)/FE601*100)</f>
        <v>0</v>
      </c>
    </row>
    <row r="602" spans="1:163" s="509" customFormat="1" ht="15" customHeight="1" outlineLevel="1">
      <c r="A602" s="509" t="str">
        <f t="shared" si="127"/>
        <v>1</v>
      </c>
      <c r="C602" s="509" t="s">
        <v>1570</v>
      </c>
      <c r="D602" s="509" t="s">
        <v>1603</v>
      </c>
      <c r="G602" s="509" t="b">
        <f>F582="двухставочный"</f>
        <v>0</v>
      </c>
      <c r="L602" s="356" t="s">
        <v>673</v>
      </c>
      <c r="M602" s="499" t="s">
        <v>674</v>
      </c>
      <c r="N602" s="354"/>
      <c r="O602" s="354"/>
      <c r="P602" s="353">
        <f>IF(N602=0,0,(O602-N602)/N602*100)</f>
        <v>0</v>
      </c>
      <c r="Q602" s="354"/>
      <c r="R602" s="354"/>
      <c r="S602" s="353">
        <f>IF(Q602=0,0,(R602-Q602)/Q602*100)</f>
        <v>0</v>
      </c>
      <c r="T602" s="354"/>
      <c r="U602" s="354"/>
      <c r="V602" s="353">
        <f>IF(T602=0,0,(U602-T602)/T602*100)</f>
        <v>0</v>
      </c>
      <c r="W602" s="354"/>
      <c r="X602" s="354"/>
      <c r="Y602" s="353">
        <f>IF(W602=0,0,(X602-W602)/W602*100)</f>
        <v>0</v>
      </c>
      <c r="Z602" s="354"/>
      <c r="AA602" s="354"/>
      <c r="AB602" s="353">
        <f>IF(Z602=0,0,(AA602-Z602)/Z602*100)</f>
        <v>0</v>
      </c>
      <c r="AC602" s="354"/>
      <c r="AD602" s="354"/>
      <c r="AE602" s="353">
        <f>IF(AC602=0,0,(AD602-AC602)/AC602*100)</f>
        <v>0</v>
      </c>
      <c r="AF602" s="354"/>
      <c r="AG602" s="354"/>
      <c r="AH602" s="353">
        <f>IF(AF602=0,0,(AG602-AF602)/AF602*100)</f>
        <v>0</v>
      </c>
      <c r="AI602" s="354"/>
      <c r="AJ602" s="354"/>
      <c r="AK602" s="353">
        <f>IF(AI602=0,0,(AJ602-AI602)/AI602*100)</f>
        <v>0</v>
      </c>
      <c r="AL602" s="354"/>
      <c r="AM602" s="354"/>
      <c r="AN602" s="353">
        <f>IF(AL602=0,0,(AM602-AL602)/AL602*100)</f>
        <v>0</v>
      </c>
      <c r="AO602" s="354"/>
      <c r="AP602" s="354"/>
      <c r="AQ602" s="353">
        <f>IF(AO602=0,0,(AP602-AO602)/AO602*100)</f>
        <v>0</v>
      </c>
      <c r="AR602" s="354"/>
      <c r="AS602" s="354"/>
      <c r="AT602" s="353">
        <f>IF(AR602=0,0,(AS602-AR602)/AR602*100)</f>
        <v>0</v>
      </c>
      <c r="AU602" s="354"/>
      <c r="AV602" s="354"/>
      <c r="AW602" s="353">
        <f>IF(AU602=0,0,(AV602-AU602)/AU602*100)</f>
        <v>0</v>
      </c>
      <c r="AX602" s="354"/>
      <c r="AY602" s="354"/>
      <c r="AZ602" s="353">
        <f>IF(AX602=0,0,(AY602-AX602)/AX602*100)</f>
        <v>0</v>
      </c>
      <c r="BA602" s="354"/>
      <c r="BB602" s="354"/>
      <c r="BC602" s="353">
        <f>IF(BA602=0,0,(BB602-BA602)/BA602*100)</f>
        <v>0</v>
      </c>
      <c r="BD602" s="354"/>
      <c r="BE602" s="354"/>
      <c r="BF602" s="353">
        <f>IF(BD602=0,0,(BE602-BD602)/BD602*100)</f>
        <v>0</v>
      </c>
      <c r="BG602" s="354"/>
      <c r="BH602" s="354"/>
      <c r="BI602" s="353">
        <f>IF(BG602=0,0,(BH602-BG602)/BG602*100)</f>
        <v>0</v>
      </c>
      <c r="BJ602" s="354"/>
      <c r="BK602" s="354"/>
      <c r="BL602" s="353">
        <f>IF(BJ602=0,0,(BK602-BJ602)/BJ602*100)</f>
        <v>0</v>
      </c>
      <c r="BM602" s="354"/>
      <c r="BN602" s="354"/>
      <c r="BO602" s="353">
        <f>IF(BM602=0,0,(BN602-BM602)/BM602*100)</f>
        <v>0</v>
      </c>
      <c r="BP602" s="354"/>
      <c r="BQ602" s="354"/>
      <c r="BR602" s="353">
        <f>IF(BP602=0,0,(BQ602-BP602)/BP602*100)</f>
        <v>0</v>
      </c>
      <c r="BS602" s="354"/>
      <c r="BT602" s="354"/>
      <c r="BU602" s="353">
        <f>IF(BS602=0,0,(BT602-BS602)/BS602*100)</f>
        <v>0</v>
      </c>
      <c r="BV602" s="354"/>
      <c r="BW602" s="354"/>
      <c r="BX602" s="353">
        <f>IF(BV602=0,0,(BW602-BV602)/BV602*100)</f>
        <v>0</v>
      </c>
      <c r="BY602" s="354"/>
      <c r="BZ602" s="354"/>
      <c r="CA602" s="353">
        <f>IF(BY602=0,0,(BZ602-BY602)/BY602*100)</f>
        <v>0</v>
      </c>
      <c r="CB602" s="354"/>
      <c r="CC602" s="354"/>
      <c r="CD602" s="353">
        <f>IF(CB602=0,0,(CC602-CB602)/CB602*100)</f>
        <v>0</v>
      </c>
      <c r="CE602" s="354"/>
      <c r="CF602" s="354"/>
      <c r="CG602" s="353">
        <f>IF(CE602=0,0,(CF602-CE602)/CE602*100)</f>
        <v>0</v>
      </c>
      <c r="CH602" s="354"/>
      <c r="CI602" s="354"/>
      <c r="CJ602" s="353">
        <f>IF(CH602=0,0,(CI602-CH602)/CH602*100)</f>
        <v>0</v>
      </c>
      <c r="CK602" s="354"/>
      <c r="CL602" s="354"/>
      <c r="CM602" s="353">
        <f>IF(CK602=0,0,(CL602-CK602)/CK602*100)</f>
        <v>0</v>
      </c>
      <c r="CN602" s="354"/>
      <c r="CO602" s="354"/>
      <c r="CP602" s="353">
        <f>IF(CN602=0,0,(CO602-CN602)/CN602*100)</f>
        <v>0</v>
      </c>
      <c r="CQ602" s="354"/>
      <c r="CR602" s="354"/>
      <c r="CS602" s="353">
        <f>IF(CQ602=0,0,(CR602-CQ602)/CQ602*100)</f>
        <v>0</v>
      </c>
      <c r="CT602" s="354"/>
      <c r="CU602" s="354"/>
      <c r="CV602" s="353">
        <f>IF(CT602=0,0,(CU602-CT602)/CT602*100)</f>
        <v>0</v>
      </c>
      <c r="CW602" s="354"/>
      <c r="CX602" s="354"/>
      <c r="CY602" s="353">
        <f>IF(CW602=0,0,(CX602-CW602)/CW602*100)</f>
        <v>0</v>
      </c>
      <c r="CZ602" s="354"/>
      <c r="DA602" s="354"/>
      <c r="DB602" s="353">
        <f>IF(CZ602=0,0,(DA602-CZ602)/CZ602*100)</f>
        <v>0</v>
      </c>
      <c r="DC602" s="354"/>
      <c r="DD602" s="354"/>
      <c r="DE602" s="353">
        <f>IF(DC602=0,0,(DD602-DC602)/DC602*100)</f>
        <v>0</v>
      </c>
      <c r="DF602" s="354"/>
      <c r="DG602" s="354"/>
      <c r="DH602" s="353">
        <f>IF(DF602=0,0,(DG602-DF602)/DF602*100)</f>
        <v>0</v>
      </c>
      <c r="DI602" s="354"/>
      <c r="DJ602" s="354"/>
      <c r="DK602" s="353">
        <f>IF(DI602=0,0,(DJ602-DI602)/DI602*100)</f>
        <v>0</v>
      </c>
      <c r="DL602" s="354"/>
      <c r="DM602" s="354"/>
      <c r="DN602" s="353">
        <f>IF(DL602=0,0,(DM602-DL602)/DL602*100)</f>
        <v>0</v>
      </c>
      <c r="DO602" s="354"/>
      <c r="DP602" s="354"/>
      <c r="DQ602" s="353">
        <f>IF(DO602=0,0,(DP602-DO602)/DO602*100)</f>
        <v>0</v>
      </c>
      <c r="DR602" s="354"/>
      <c r="DS602" s="354"/>
      <c r="DT602" s="353">
        <f>IF(DR602=0,0,(DS602-DR602)/DR602*100)</f>
        <v>0</v>
      </c>
      <c r="DU602" s="354"/>
      <c r="DV602" s="354"/>
      <c r="DW602" s="353">
        <f>IF(DU602=0,0,(DV602-DU602)/DU602*100)</f>
        <v>0</v>
      </c>
      <c r="DX602" s="354"/>
      <c r="DY602" s="354"/>
      <c r="DZ602" s="353">
        <f>IF(DX602=0,0,(DY602-DX602)/DX602*100)</f>
        <v>0</v>
      </c>
      <c r="EA602" s="354"/>
      <c r="EB602" s="354"/>
      <c r="EC602" s="353">
        <f>IF(EA602=0,0,(EB602-EA602)/EA602*100)</f>
        <v>0</v>
      </c>
      <c r="ED602" s="354"/>
      <c r="EE602" s="354"/>
      <c r="EF602" s="353">
        <f>IF(ED602=0,0,(EE602-ED602)/ED602*100)</f>
        <v>0</v>
      </c>
      <c r="EG602" s="354"/>
      <c r="EH602" s="354"/>
      <c r="EI602" s="353">
        <f>IF(EG602=0,0,(EH602-EG602)/EG602*100)</f>
        <v>0</v>
      </c>
      <c r="EJ602" s="354"/>
      <c r="EK602" s="354"/>
      <c r="EL602" s="353">
        <f>IF(EJ602=0,0,(EK602-EJ602)/EJ602*100)</f>
        <v>0</v>
      </c>
      <c r="EM602" s="354"/>
      <c r="EN602" s="354"/>
      <c r="EO602" s="353">
        <f>IF(EM602=0,0,(EN602-EM602)/EM602*100)</f>
        <v>0</v>
      </c>
      <c r="EP602" s="354"/>
      <c r="EQ602" s="354"/>
      <c r="ER602" s="353">
        <f>IF(EP602=0,0,(EQ602-EP602)/EP602*100)</f>
        <v>0</v>
      </c>
      <c r="ES602" s="354"/>
      <c r="ET602" s="354"/>
      <c r="EU602" s="353">
        <f>IF(ES602=0,0,(ET602-ES602)/ES602*100)</f>
        <v>0</v>
      </c>
      <c r="EV602" s="354"/>
      <c r="EW602" s="354"/>
      <c r="EX602" s="353">
        <f>IF(EV602=0,0,(EW602-EV602)/EV602*100)</f>
        <v>0</v>
      </c>
      <c r="EY602" s="354"/>
      <c r="EZ602" s="354"/>
      <c r="FA602" s="353">
        <f>IF(EY602=0,0,(EZ602-EY602)/EY602*100)</f>
        <v>0</v>
      </c>
      <c r="FB602" s="354"/>
      <c r="FC602" s="354"/>
      <c r="FD602" s="353">
        <f>IF(FB602=0,0,(FC602-FB602)/FB602*100)</f>
        <v>0</v>
      </c>
      <c r="FE602" s="354"/>
      <c r="FF602" s="354"/>
      <c r="FG602" s="353">
        <f>IF(FE602=0,0,(FF602-FE602)/FE602*100)</f>
        <v>0</v>
      </c>
    </row>
    <row r="603" spans="1:163" s="509" customFormat="1" ht="15" customHeight="1" outlineLevel="1">
      <c r="A603" s="509" t="str">
        <f t="shared" si="127"/>
        <v>1</v>
      </c>
      <c r="G603" s="509" t="b">
        <f>F582="двухставочный"</f>
        <v>0</v>
      </c>
      <c r="L603" s="347" t="s">
        <v>1187</v>
      </c>
      <c r="M603" s="545"/>
      <c r="N603" s="546"/>
      <c r="O603" s="546"/>
      <c r="P603" s="546"/>
      <c r="Q603" s="546"/>
      <c r="R603" s="546"/>
      <c r="S603" s="546"/>
      <c r="T603" s="546"/>
      <c r="U603" s="546"/>
      <c r="V603" s="546"/>
      <c r="W603" s="546"/>
      <c r="X603" s="546"/>
      <c r="Y603" s="546"/>
      <c r="Z603" s="546"/>
      <c r="AA603" s="546"/>
      <c r="AB603" s="546"/>
      <c r="AC603" s="546"/>
      <c r="AD603" s="546"/>
      <c r="AE603" s="546"/>
      <c r="AF603" s="546"/>
      <c r="AG603" s="546"/>
      <c r="AH603" s="546"/>
      <c r="AI603" s="546"/>
      <c r="AJ603" s="546"/>
      <c r="AK603" s="546"/>
      <c r="AL603" s="546"/>
      <c r="AM603" s="546"/>
      <c r="AN603" s="546"/>
      <c r="AO603" s="546"/>
      <c r="AP603" s="546"/>
      <c r="AQ603" s="546"/>
      <c r="AR603" s="546"/>
      <c r="AS603" s="546"/>
      <c r="AT603" s="546"/>
      <c r="AU603" s="546"/>
      <c r="AV603" s="546"/>
      <c r="AW603" s="546"/>
      <c r="AX603" s="546"/>
      <c r="AY603" s="546"/>
      <c r="AZ603" s="546"/>
      <c r="BA603" s="546"/>
      <c r="BB603" s="546"/>
      <c r="BC603" s="546"/>
      <c r="BD603" s="546"/>
      <c r="BE603" s="546"/>
      <c r="BF603" s="546"/>
      <c r="BG603" s="546"/>
      <c r="BH603" s="546"/>
      <c r="BI603" s="546"/>
      <c r="BJ603" s="546"/>
      <c r="BK603" s="546"/>
      <c r="BL603" s="546"/>
      <c r="BM603" s="546"/>
      <c r="BN603" s="546"/>
      <c r="BO603" s="546"/>
      <c r="BP603" s="546"/>
      <c r="BQ603" s="546"/>
      <c r="BR603" s="546"/>
      <c r="BS603" s="546"/>
      <c r="BT603" s="546"/>
      <c r="BU603" s="546"/>
      <c r="BV603" s="546"/>
      <c r="BW603" s="546"/>
      <c r="BX603" s="546"/>
      <c r="BY603" s="546"/>
      <c r="BZ603" s="546"/>
      <c r="CA603" s="546"/>
      <c r="CB603" s="546"/>
      <c r="CC603" s="546"/>
      <c r="CD603" s="546"/>
      <c r="CE603" s="546"/>
      <c r="CF603" s="546"/>
      <c r="CG603" s="546"/>
      <c r="CH603" s="546"/>
      <c r="CI603" s="546"/>
      <c r="CJ603" s="546"/>
      <c r="CK603" s="546"/>
      <c r="CL603" s="546"/>
      <c r="CM603" s="546"/>
      <c r="CN603" s="546"/>
      <c r="CO603" s="546"/>
      <c r="CP603" s="546"/>
      <c r="CQ603" s="546"/>
      <c r="CR603" s="546"/>
      <c r="CS603" s="546"/>
      <c r="CT603" s="546"/>
      <c r="CU603" s="546"/>
      <c r="CV603" s="546"/>
      <c r="CW603" s="546"/>
      <c r="CX603" s="546"/>
      <c r="CY603" s="546"/>
      <c r="CZ603" s="546"/>
      <c r="DA603" s="546"/>
      <c r="DB603" s="546"/>
      <c r="DC603" s="546"/>
      <c r="DD603" s="546"/>
      <c r="DE603" s="546"/>
      <c r="DF603" s="546"/>
      <c r="DG603" s="546"/>
      <c r="DH603" s="546"/>
      <c r="DI603" s="546"/>
      <c r="DJ603" s="546"/>
      <c r="DK603" s="546"/>
      <c r="DL603" s="546"/>
      <c r="DM603" s="546"/>
      <c r="DN603" s="546"/>
      <c r="DO603" s="546"/>
      <c r="DP603" s="546"/>
      <c r="DQ603" s="546"/>
      <c r="DR603" s="546"/>
      <c r="DS603" s="546"/>
      <c r="DT603" s="546"/>
      <c r="DU603" s="546"/>
      <c r="DV603" s="546"/>
      <c r="DW603" s="546"/>
      <c r="DX603" s="546"/>
      <c r="DY603" s="546"/>
      <c r="DZ603" s="546"/>
      <c r="EA603" s="546"/>
      <c r="EB603" s="546"/>
      <c r="EC603" s="546"/>
      <c r="ED603" s="546"/>
      <c r="EE603" s="546"/>
      <c r="EF603" s="546"/>
      <c r="EG603" s="546"/>
      <c r="EH603" s="546"/>
      <c r="EI603" s="546"/>
      <c r="EJ603" s="546"/>
      <c r="EK603" s="546"/>
      <c r="EL603" s="546"/>
      <c r="EM603" s="546"/>
      <c r="EN603" s="546"/>
      <c r="EO603" s="546"/>
      <c r="EP603" s="546"/>
      <c r="EQ603" s="546"/>
      <c r="ER603" s="546"/>
      <c r="ES603" s="546"/>
      <c r="ET603" s="546"/>
      <c r="EU603" s="546"/>
      <c r="EV603" s="546"/>
      <c r="EW603" s="546"/>
      <c r="EX603" s="546"/>
      <c r="EY603" s="546"/>
      <c r="EZ603" s="546"/>
      <c r="FA603" s="546"/>
      <c r="FB603" s="546"/>
      <c r="FC603" s="546"/>
      <c r="FD603" s="546"/>
      <c r="FE603" s="546"/>
      <c r="FF603" s="546"/>
      <c r="FG603" s="547"/>
    </row>
    <row r="604" spans="1:163" s="509" customFormat="1" ht="15" customHeight="1" outlineLevel="1">
      <c r="A604" s="509" t="str">
        <f t="shared" si="127"/>
        <v>1</v>
      </c>
      <c r="C604" s="509" t="s">
        <v>1440</v>
      </c>
      <c r="D604" s="509" t="s">
        <v>1604</v>
      </c>
      <c r="G604" s="509" t="b">
        <f>F582="двухставочный"</f>
        <v>0</v>
      </c>
      <c r="L604" s="356" t="s">
        <v>668</v>
      </c>
      <c r="M604" s="499" t="s">
        <v>655</v>
      </c>
      <c r="N604" s="354" t="e">
        <f>IF(N606=0,0,(N605*N606+N607*N608*6)/N606)</f>
        <v>#N/A</v>
      </c>
      <c r="O604" s="354" t="e">
        <f>IF(O606=0,0,(O605*O606+O607*O608*6)/O606)</f>
        <v>#N/A</v>
      </c>
      <c r="P604" s="353" t="e">
        <f>IF(N604=0,0,(O604-N604)/N604*100)</f>
        <v>#N/A</v>
      </c>
      <c r="Q604" s="354" t="e">
        <f>IF(Q606=0,0,(Q605*Q606+Q607*Q608*6)/Q606)</f>
        <v>#N/A</v>
      </c>
      <c r="R604" s="354" t="e">
        <f>IF(R606=0,0,(R605*R606+R607*R608*6)/R606)</f>
        <v>#N/A</v>
      </c>
      <c r="S604" s="353" t="e">
        <f>IF(Q604=0,0,(R604-Q604)/Q604*100)</f>
        <v>#N/A</v>
      </c>
      <c r="T604" s="354" t="e">
        <f>IF(T606=0,0,(T605*T606+T607*T608*6)/T606)</f>
        <v>#N/A</v>
      </c>
      <c r="U604" s="354" t="e">
        <f>IF(U606=0,0,(U605*U606+U607*U608*6)/U606)</f>
        <v>#N/A</v>
      </c>
      <c r="V604" s="353" t="e">
        <f>IF(T604=0,0,(U604-T604)/T604*100)</f>
        <v>#N/A</v>
      </c>
      <c r="W604" s="354" t="e">
        <f>IF(W606=0,0,(W605*W606+W607*W608*6)/W606)</f>
        <v>#N/A</v>
      </c>
      <c r="X604" s="354" t="e">
        <f>IF(X606=0,0,(X605*X606+X607*X608*6)/X606)</f>
        <v>#N/A</v>
      </c>
      <c r="Y604" s="353" t="e">
        <f>IF(W604=0,0,(X604-W604)/W604*100)</f>
        <v>#N/A</v>
      </c>
      <c r="Z604" s="354" t="e">
        <f>IF(Z606=0,0,(Z605*Z606+Z607*Z608*6)/Z606)</f>
        <v>#N/A</v>
      </c>
      <c r="AA604" s="354" t="e">
        <f>IF(AA606=0,0,(AA605*AA606+AA607*AA608*6)/AA606)</f>
        <v>#N/A</v>
      </c>
      <c r="AB604" s="353" t="e">
        <f>IF(Z604=0,0,(AA604-Z604)/Z604*100)</f>
        <v>#N/A</v>
      </c>
      <c r="AC604" s="354" t="e">
        <f>IF(AC606=0,0,(AC605*AC606+AC607*AC608*6)/AC606)</f>
        <v>#N/A</v>
      </c>
      <c r="AD604" s="354" t="e">
        <f>IF(AD606=0,0,(AD605*AD606+AD607*AD608*6)/AD606)</f>
        <v>#N/A</v>
      </c>
      <c r="AE604" s="353" t="e">
        <f>IF(AC604=0,0,(AD604-AC604)/AC604*100)</f>
        <v>#N/A</v>
      </c>
      <c r="AF604" s="354" t="e">
        <f>IF(AF606=0,0,(AF605*AF606+AF607*AF608*6)/AF606)</f>
        <v>#N/A</v>
      </c>
      <c r="AG604" s="354" t="e">
        <f>IF(AG606=0,0,(AG605*AG606+AG607*AG608*6)/AG606)</f>
        <v>#N/A</v>
      </c>
      <c r="AH604" s="353" t="e">
        <f>IF(AF604=0,0,(AG604-AF604)/AF604*100)</f>
        <v>#N/A</v>
      </c>
      <c r="AI604" s="354" t="e">
        <f>IF(AI606=0,0,(AI605*AI606+AI607*AI608*6)/AI606)</f>
        <v>#N/A</v>
      </c>
      <c r="AJ604" s="354" t="e">
        <f>IF(AJ606=0,0,(AJ605*AJ606+AJ607*AJ608*6)/AJ606)</f>
        <v>#N/A</v>
      </c>
      <c r="AK604" s="353" t="e">
        <f>IF(AI604=0,0,(AJ604-AI604)/AI604*100)</f>
        <v>#N/A</v>
      </c>
      <c r="AL604" s="354" t="e">
        <f>IF(AL606=0,0,(AL605*AL606+AL607*AL608*6)/AL606)</f>
        <v>#N/A</v>
      </c>
      <c r="AM604" s="354" t="e">
        <f>IF(AM606=0,0,(AM605*AM606+AM607*AM608*6)/AM606)</f>
        <v>#N/A</v>
      </c>
      <c r="AN604" s="353" t="e">
        <f>IF(AL604=0,0,(AM604-AL604)/AL604*100)</f>
        <v>#N/A</v>
      </c>
      <c r="AO604" s="354" t="e">
        <f>IF(AO606=0,0,(AO605*AO606+AO607*AO608*6)/AO606)</f>
        <v>#N/A</v>
      </c>
      <c r="AP604" s="354" t="e">
        <f>IF(AP606=0,0,(AP605*AP606+AP607*AP608*6)/AP606)</f>
        <v>#N/A</v>
      </c>
      <c r="AQ604" s="353" t="e">
        <f>IF(AO604=0,0,(AP604-AO604)/AO604*100)</f>
        <v>#N/A</v>
      </c>
      <c r="AR604" s="354">
        <f>IF(AR606=0,0,(AR605*AR606+AR607*AR608*6)/AR606)</f>
        <v>0</v>
      </c>
      <c r="AS604" s="354">
        <f>IF(AS606=0,0,(AS605*AS606+AS607*AS608*6)/AS606)</f>
        <v>0</v>
      </c>
      <c r="AT604" s="353">
        <f>IF(AR604=0,0,(AS604-AR604)/AR604*100)</f>
        <v>0</v>
      </c>
      <c r="AU604" s="354">
        <f>IF(AU606=0,0,(AU605*AU606+AU607*AU608*6)/AU606)</f>
        <v>0</v>
      </c>
      <c r="AV604" s="354">
        <f>IF(AV606=0,0,(AV605*AV606+AV607*AV608*6)/AV606)</f>
        <v>0</v>
      </c>
      <c r="AW604" s="353">
        <f>IF(AU604=0,0,(AV604-AU604)/AU604*100)</f>
        <v>0</v>
      </c>
      <c r="AX604" s="354">
        <f>IF(AX606=0,0,(AX605*AX606+AX607*AX608*6)/AX606)</f>
        <v>0</v>
      </c>
      <c r="AY604" s="354">
        <f>IF(AY606=0,0,(AY605*AY606+AY607*AY608*6)/AY606)</f>
        <v>0</v>
      </c>
      <c r="AZ604" s="353">
        <f>IF(AX604=0,0,(AY604-AX604)/AX604*100)</f>
        <v>0</v>
      </c>
      <c r="BA604" s="354">
        <f>IF(BA606=0,0,(BA605*BA606+BA607*BA608*6)/BA606)</f>
        <v>0</v>
      </c>
      <c r="BB604" s="354">
        <f>IF(BB606=0,0,(BB605*BB606+BB607*BB608*6)/BB606)</f>
        <v>0</v>
      </c>
      <c r="BC604" s="353">
        <f>IF(BA604=0,0,(BB604-BA604)/BA604*100)</f>
        <v>0</v>
      </c>
      <c r="BD604" s="354">
        <f>IF(BD606=0,0,(BD605*BD606+BD607*BD608*6)/BD606)</f>
        <v>0</v>
      </c>
      <c r="BE604" s="354">
        <f>IF(BE606=0,0,(BE605*BE606+BE607*BE608*6)/BE606)</f>
        <v>0</v>
      </c>
      <c r="BF604" s="353">
        <f>IF(BD604=0,0,(BE604-BD604)/BD604*100)</f>
        <v>0</v>
      </c>
      <c r="BG604" s="354">
        <f>IF(BG606=0,0,(BG605*BG606+BG607*BG608*6)/BG606)</f>
        <v>0</v>
      </c>
      <c r="BH604" s="354">
        <f>IF(BH606=0,0,(BH605*BH606+BH607*BH608*6)/BH606)</f>
        <v>0</v>
      </c>
      <c r="BI604" s="353">
        <f>IF(BG604=0,0,(BH604-BG604)/BG604*100)</f>
        <v>0</v>
      </c>
      <c r="BJ604" s="354">
        <f>IF(BJ606=0,0,(BJ605*BJ606+BJ607*BJ608*6)/BJ606)</f>
        <v>0</v>
      </c>
      <c r="BK604" s="354">
        <f>IF(BK606=0,0,(BK605*BK606+BK607*BK608*6)/BK606)</f>
        <v>0</v>
      </c>
      <c r="BL604" s="353">
        <f>IF(BJ604=0,0,(BK604-BJ604)/BJ604*100)</f>
        <v>0</v>
      </c>
      <c r="BM604" s="354">
        <f>IF(BM606=0,0,(BM605*BM606+BM607*BM608*6)/BM606)</f>
        <v>0</v>
      </c>
      <c r="BN604" s="354">
        <f>IF(BN606=0,0,(BN605*BN606+BN607*BN608*6)/BN606)</f>
        <v>0</v>
      </c>
      <c r="BO604" s="353">
        <f>IF(BM604=0,0,(BN604-BM604)/BM604*100)</f>
        <v>0</v>
      </c>
      <c r="BP604" s="354">
        <f>IF(BP606=0,0,(BP605*BP606+BP607*BP608*6)/BP606)</f>
        <v>0</v>
      </c>
      <c r="BQ604" s="354">
        <f>IF(BQ606=0,0,(BQ605*BQ606+BQ607*BQ608*6)/BQ606)</f>
        <v>0</v>
      </c>
      <c r="BR604" s="353">
        <f>IF(BP604=0,0,(BQ604-BP604)/BP604*100)</f>
        <v>0</v>
      </c>
      <c r="BS604" s="354">
        <f>IF(BS606=0,0,(BS605*BS606+BS607*BS608*6)/BS606)</f>
        <v>0</v>
      </c>
      <c r="BT604" s="354">
        <f>IF(BT606=0,0,(BT605*BT606+BT607*BT608*6)/BT606)</f>
        <v>0</v>
      </c>
      <c r="BU604" s="353">
        <f>IF(BS604=0,0,(BT604-BS604)/BS604*100)</f>
        <v>0</v>
      </c>
      <c r="BV604" s="354">
        <f>IF(BV606=0,0,(BV605*BV606+BV607*BV608*6)/BV606)</f>
        <v>0</v>
      </c>
      <c r="BW604" s="354">
        <f>IF(BW606=0,0,(BW605*BW606+BW607*BW608*6)/BW606)</f>
        <v>0</v>
      </c>
      <c r="BX604" s="353">
        <f>IF(BV604=0,0,(BW604-BV604)/BV604*100)</f>
        <v>0</v>
      </c>
      <c r="BY604" s="354">
        <f>IF(BY606=0,0,(BY605*BY606+BY607*BY608*6)/BY606)</f>
        <v>0</v>
      </c>
      <c r="BZ604" s="354">
        <f>IF(BZ606=0,0,(BZ605*BZ606+BZ607*BZ608*6)/BZ606)</f>
        <v>0</v>
      </c>
      <c r="CA604" s="353">
        <f>IF(BY604=0,0,(BZ604-BY604)/BY604*100)</f>
        <v>0</v>
      </c>
      <c r="CB604" s="354">
        <f>IF(CB606=0,0,(CB605*CB606+CB607*CB608*6)/CB606)</f>
        <v>0</v>
      </c>
      <c r="CC604" s="354">
        <f>IF(CC606=0,0,(CC605*CC606+CC607*CC608*6)/CC606)</f>
        <v>0</v>
      </c>
      <c r="CD604" s="353">
        <f>IF(CB604=0,0,(CC604-CB604)/CB604*100)</f>
        <v>0</v>
      </c>
      <c r="CE604" s="354">
        <f>IF(CE606=0,0,(CE605*CE606+CE607*CE608*6)/CE606)</f>
        <v>0</v>
      </c>
      <c r="CF604" s="354">
        <f>IF(CF606=0,0,(CF605*CF606+CF607*CF608*6)/CF606)</f>
        <v>0</v>
      </c>
      <c r="CG604" s="353">
        <f>IF(CE604=0,0,(CF604-CE604)/CE604*100)</f>
        <v>0</v>
      </c>
      <c r="CH604" s="354">
        <f>IF(CH606=0,0,(CH605*CH606+CH607*CH608*6)/CH606)</f>
        <v>0</v>
      </c>
      <c r="CI604" s="354">
        <f>IF(CI606=0,0,(CI605*CI606+CI607*CI608*6)/CI606)</f>
        <v>0</v>
      </c>
      <c r="CJ604" s="353">
        <f>IF(CH604=0,0,(CI604-CH604)/CH604*100)</f>
        <v>0</v>
      </c>
      <c r="CK604" s="354">
        <f>IF(CK606=0,0,(CK605*CK606+CK607*CK608*6)/CK606)</f>
        <v>0</v>
      </c>
      <c r="CL604" s="354">
        <f>IF(CL606=0,0,(CL605*CL606+CL607*CL608*6)/CL606)</f>
        <v>0</v>
      </c>
      <c r="CM604" s="353">
        <f>IF(CK604=0,0,(CL604-CK604)/CK604*100)</f>
        <v>0</v>
      </c>
      <c r="CN604" s="354">
        <f>IF(CN606=0,0,(CN605*CN606+CN607*CN608*6)/CN606)</f>
        <v>0</v>
      </c>
      <c r="CO604" s="354">
        <f>IF(CO606=0,0,(CO605*CO606+CO607*CO608*6)/CO606)</f>
        <v>0</v>
      </c>
      <c r="CP604" s="353">
        <f>IF(CN604=0,0,(CO604-CN604)/CN604*100)</f>
        <v>0</v>
      </c>
      <c r="CQ604" s="354">
        <f>IF(CQ606=0,0,(CQ605*CQ606+CQ607*CQ608*6)/CQ606)</f>
        <v>0</v>
      </c>
      <c r="CR604" s="354">
        <f>IF(CR606=0,0,(CR605*CR606+CR607*CR608*6)/CR606)</f>
        <v>0</v>
      </c>
      <c r="CS604" s="353">
        <f>IF(CQ604=0,0,(CR604-CQ604)/CQ604*100)</f>
        <v>0</v>
      </c>
      <c r="CT604" s="354">
        <f>IF(CT606=0,0,(CT605*CT606+CT607*CT608*6)/CT606)</f>
        <v>0</v>
      </c>
      <c r="CU604" s="354">
        <f>IF(CU606=0,0,(CU605*CU606+CU607*CU608*6)/CU606)</f>
        <v>0</v>
      </c>
      <c r="CV604" s="353">
        <f>IF(CT604=0,0,(CU604-CT604)/CT604*100)</f>
        <v>0</v>
      </c>
      <c r="CW604" s="354">
        <f>IF(CW606=0,0,(CW605*CW606+CW607*CW608*6)/CW606)</f>
        <v>0</v>
      </c>
      <c r="CX604" s="354">
        <f>IF(CX606=0,0,(CX605*CX606+CX607*CX608*6)/CX606)</f>
        <v>0</v>
      </c>
      <c r="CY604" s="353">
        <f>IF(CW604=0,0,(CX604-CW604)/CW604*100)</f>
        <v>0</v>
      </c>
      <c r="CZ604" s="354">
        <f>IF(CZ606=0,0,(CZ605*CZ606+CZ607*CZ608*6)/CZ606)</f>
        <v>0</v>
      </c>
      <c r="DA604" s="354">
        <f>IF(DA606=0,0,(DA605*DA606+DA607*DA608*6)/DA606)</f>
        <v>0</v>
      </c>
      <c r="DB604" s="353">
        <f>IF(CZ604=0,0,(DA604-CZ604)/CZ604*100)</f>
        <v>0</v>
      </c>
      <c r="DC604" s="354">
        <f>IF(DC606=0,0,(DC605*DC606+DC607*DC608*6)/DC606)</f>
        <v>0</v>
      </c>
      <c r="DD604" s="354">
        <f>IF(DD606=0,0,(DD605*DD606+DD607*DD608*6)/DD606)</f>
        <v>0</v>
      </c>
      <c r="DE604" s="353">
        <f>IF(DC604=0,0,(DD604-DC604)/DC604*100)</f>
        <v>0</v>
      </c>
      <c r="DF604" s="354">
        <f>IF(DF606=0,0,(DF605*DF606+DF607*DF608*6)/DF606)</f>
        <v>0</v>
      </c>
      <c r="DG604" s="354">
        <f>IF(DG606=0,0,(DG605*DG606+DG607*DG608*6)/DG606)</f>
        <v>0</v>
      </c>
      <c r="DH604" s="353">
        <f>IF(DF604=0,0,(DG604-DF604)/DF604*100)</f>
        <v>0</v>
      </c>
      <c r="DI604" s="354">
        <f>IF(DI606=0,0,(DI605*DI606+DI607*DI608*6)/DI606)</f>
        <v>0</v>
      </c>
      <c r="DJ604" s="354">
        <f>IF(DJ606=0,0,(DJ605*DJ606+DJ607*DJ608*6)/DJ606)</f>
        <v>0</v>
      </c>
      <c r="DK604" s="353">
        <f>IF(DI604=0,0,(DJ604-DI604)/DI604*100)</f>
        <v>0</v>
      </c>
      <c r="DL604" s="354">
        <f>IF(DL606=0,0,(DL605*DL606+DL607*DL608*6)/DL606)</f>
        <v>0</v>
      </c>
      <c r="DM604" s="354">
        <f>IF(DM606=0,0,(DM605*DM606+DM607*DM608*6)/DM606)</f>
        <v>0</v>
      </c>
      <c r="DN604" s="353">
        <f>IF(DL604=0,0,(DM604-DL604)/DL604*100)</f>
        <v>0</v>
      </c>
      <c r="DO604" s="354">
        <f>IF(DO606=0,0,(DO605*DO606+DO607*DO608*6)/DO606)</f>
        <v>0</v>
      </c>
      <c r="DP604" s="354">
        <f>IF(DP606=0,0,(DP605*DP606+DP607*DP608*6)/DP606)</f>
        <v>0</v>
      </c>
      <c r="DQ604" s="353">
        <f>IF(DO604=0,0,(DP604-DO604)/DO604*100)</f>
        <v>0</v>
      </c>
      <c r="DR604" s="354">
        <f>IF(DR606=0,0,(DR605*DR606+DR607*DR608*6)/DR606)</f>
        <v>0</v>
      </c>
      <c r="DS604" s="354">
        <f>IF(DS606=0,0,(DS605*DS606+DS607*DS608*6)/DS606)</f>
        <v>0</v>
      </c>
      <c r="DT604" s="353">
        <f>IF(DR604=0,0,(DS604-DR604)/DR604*100)</f>
        <v>0</v>
      </c>
      <c r="DU604" s="354">
        <f>IF(DU606=0,0,(DU605*DU606+DU607*DU608*6)/DU606)</f>
        <v>0</v>
      </c>
      <c r="DV604" s="354">
        <f>IF(DV606=0,0,(DV605*DV606+DV607*DV608*6)/DV606)</f>
        <v>0</v>
      </c>
      <c r="DW604" s="353">
        <f>IF(DU604=0,0,(DV604-DU604)/DU604*100)</f>
        <v>0</v>
      </c>
      <c r="DX604" s="354">
        <f>IF(DX606=0,0,(DX605*DX606+DX607*DX608*6)/DX606)</f>
        <v>0</v>
      </c>
      <c r="DY604" s="354">
        <f>IF(DY606=0,0,(DY605*DY606+DY607*DY608*6)/DY606)</f>
        <v>0</v>
      </c>
      <c r="DZ604" s="353">
        <f>IF(DX604=0,0,(DY604-DX604)/DX604*100)</f>
        <v>0</v>
      </c>
      <c r="EA604" s="354">
        <f>IF(EA606=0,0,(EA605*EA606+EA607*EA608*6)/EA606)</f>
        <v>0</v>
      </c>
      <c r="EB604" s="354">
        <f>IF(EB606=0,0,(EB605*EB606+EB607*EB608*6)/EB606)</f>
        <v>0</v>
      </c>
      <c r="EC604" s="353">
        <f>IF(EA604=0,0,(EB604-EA604)/EA604*100)</f>
        <v>0</v>
      </c>
      <c r="ED604" s="354">
        <f>IF(ED606=0,0,(ED605*ED606+ED607*ED608*6)/ED606)</f>
        <v>0</v>
      </c>
      <c r="EE604" s="354">
        <f>IF(EE606=0,0,(EE605*EE606+EE607*EE608*6)/EE606)</f>
        <v>0</v>
      </c>
      <c r="EF604" s="353">
        <f>IF(ED604=0,0,(EE604-ED604)/ED604*100)</f>
        <v>0</v>
      </c>
      <c r="EG604" s="354">
        <f>IF(EG606=0,0,(EG605*EG606+EG607*EG608*6)/EG606)</f>
        <v>0</v>
      </c>
      <c r="EH604" s="354">
        <f>IF(EH606=0,0,(EH605*EH606+EH607*EH608*6)/EH606)</f>
        <v>0</v>
      </c>
      <c r="EI604" s="353">
        <f>IF(EG604=0,0,(EH604-EG604)/EG604*100)</f>
        <v>0</v>
      </c>
      <c r="EJ604" s="354">
        <f>IF(EJ606=0,0,(EJ605*EJ606+EJ607*EJ608*6)/EJ606)</f>
        <v>0</v>
      </c>
      <c r="EK604" s="354">
        <f>IF(EK606=0,0,(EK605*EK606+EK607*EK608*6)/EK606)</f>
        <v>0</v>
      </c>
      <c r="EL604" s="353">
        <f>IF(EJ604=0,0,(EK604-EJ604)/EJ604*100)</f>
        <v>0</v>
      </c>
      <c r="EM604" s="354">
        <f>IF(EM606=0,0,(EM605*EM606+EM607*EM608*6)/EM606)</f>
        <v>0</v>
      </c>
      <c r="EN604" s="354">
        <f>IF(EN606=0,0,(EN605*EN606+EN607*EN608*6)/EN606)</f>
        <v>0</v>
      </c>
      <c r="EO604" s="353">
        <f>IF(EM604=0,0,(EN604-EM604)/EM604*100)</f>
        <v>0</v>
      </c>
      <c r="EP604" s="354">
        <f>IF(EP606=0,0,(EP605*EP606+EP607*EP608*6)/EP606)</f>
        <v>0</v>
      </c>
      <c r="EQ604" s="354">
        <f>IF(EQ606=0,0,(EQ605*EQ606+EQ607*EQ608*6)/EQ606)</f>
        <v>0</v>
      </c>
      <c r="ER604" s="353">
        <f>IF(EP604=0,0,(EQ604-EP604)/EP604*100)</f>
        <v>0</v>
      </c>
      <c r="ES604" s="354">
        <f>IF(ES606=0,0,(ES605*ES606+ES607*ES608*6)/ES606)</f>
        <v>0</v>
      </c>
      <c r="ET604" s="354">
        <f>IF(ET606=0,0,(ET605*ET606+ET607*ET608*6)/ET606)</f>
        <v>0</v>
      </c>
      <c r="EU604" s="353">
        <f>IF(ES604=0,0,(ET604-ES604)/ES604*100)</f>
        <v>0</v>
      </c>
      <c r="EV604" s="354">
        <f>IF(EV606=0,0,(EV605*EV606+EV607*EV608*6)/EV606)</f>
        <v>0</v>
      </c>
      <c r="EW604" s="354">
        <f>IF(EW606=0,0,(EW605*EW606+EW607*EW608*6)/EW606)</f>
        <v>0</v>
      </c>
      <c r="EX604" s="353">
        <f>IF(EV604=0,0,(EW604-EV604)/EV604*100)</f>
        <v>0</v>
      </c>
      <c r="EY604" s="354">
        <f>IF(EY606=0,0,(EY605*EY606+EY607*EY608*6)/EY606)</f>
        <v>0</v>
      </c>
      <c r="EZ604" s="354">
        <f>IF(EZ606=0,0,(EZ605*EZ606+EZ607*EZ608*6)/EZ606)</f>
        <v>0</v>
      </c>
      <c r="FA604" s="353">
        <f>IF(EY604=0,0,(EZ604-EY604)/EY604*100)</f>
        <v>0</v>
      </c>
      <c r="FB604" s="354">
        <f>IF(FB606=0,0,(FB605*FB606+FB607*FB608*6)/FB606)</f>
        <v>0</v>
      </c>
      <c r="FC604" s="354">
        <f>IF(FC606=0,0,(FC605*FC606+FC607*FC608*6)/FC606)</f>
        <v>0</v>
      </c>
      <c r="FD604" s="353">
        <f>IF(FB604=0,0,(FC604-FB604)/FB604*100)</f>
        <v>0</v>
      </c>
      <c r="FE604" s="354">
        <f>IF(FE606=0,0,(FE605*FE606+FE607*FE608*6)/FE606)</f>
        <v>0</v>
      </c>
      <c r="FF604" s="354">
        <f>IF(FF606=0,0,(FF605*FF606+FF607*FF608*6)/FF606)</f>
        <v>0</v>
      </c>
      <c r="FG604" s="353">
        <f>IF(FE604=0,0,(FF604-FE604)/FE604*100)</f>
        <v>0</v>
      </c>
    </row>
    <row r="605" spans="1:163" s="509" customFormat="1" ht="15" customHeight="1" outlineLevel="1">
      <c r="A605" s="509" t="str">
        <f t="shared" si="127"/>
        <v>1</v>
      </c>
      <c r="C605" s="509" t="s">
        <v>1441</v>
      </c>
      <c r="D605" s="509" t="s">
        <v>1604</v>
      </c>
      <c r="G605" s="509" t="b">
        <f>F582="двухставочный"</f>
        <v>0</v>
      </c>
      <c r="L605" s="356" t="s">
        <v>669</v>
      </c>
      <c r="M605" s="499" t="s">
        <v>655</v>
      </c>
      <c r="N605" s="354"/>
      <c r="O605" s="354"/>
      <c r="P605" s="353">
        <f>IF(N605=0,0,(O605-N605)/N605*100)</f>
        <v>0</v>
      </c>
      <c r="Q605" s="354"/>
      <c r="R605" s="354"/>
      <c r="S605" s="353">
        <f>IF(Q605=0,0,(R605-Q605)/Q605*100)</f>
        <v>0</v>
      </c>
      <c r="T605" s="354"/>
      <c r="U605" s="354"/>
      <c r="V605" s="353">
        <f>IF(T605=0,0,(U605-T605)/T605*100)</f>
        <v>0</v>
      </c>
      <c r="W605" s="354"/>
      <c r="X605" s="354"/>
      <c r="Y605" s="353">
        <f>IF(W605=0,0,(X605-W605)/W605*100)</f>
        <v>0</v>
      </c>
      <c r="Z605" s="354"/>
      <c r="AA605" s="354"/>
      <c r="AB605" s="353">
        <f>IF(Z605=0,0,(AA605-Z605)/Z605*100)</f>
        <v>0</v>
      </c>
      <c r="AC605" s="354"/>
      <c r="AD605" s="354"/>
      <c r="AE605" s="353">
        <f>IF(AC605=0,0,(AD605-AC605)/AC605*100)</f>
        <v>0</v>
      </c>
      <c r="AF605" s="354"/>
      <c r="AG605" s="354"/>
      <c r="AH605" s="353">
        <f>IF(AF605=0,0,(AG605-AF605)/AF605*100)</f>
        <v>0</v>
      </c>
      <c r="AI605" s="354"/>
      <c r="AJ605" s="354"/>
      <c r="AK605" s="353">
        <f>IF(AI605=0,0,(AJ605-AI605)/AI605*100)</f>
        <v>0</v>
      </c>
      <c r="AL605" s="354"/>
      <c r="AM605" s="354"/>
      <c r="AN605" s="353">
        <f>IF(AL605=0,0,(AM605-AL605)/AL605*100)</f>
        <v>0</v>
      </c>
      <c r="AO605" s="354"/>
      <c r="AP605" s="354"/>
      <c r="AQ605" s="353">
        <f>IF(AO605=0,0,(AP605-AO605)/AO605*100)</f>
        <v>0</v>
      </c>
      <c r="AR605" s="354"/>
      <c r="AS605" s="354"/>
      <c r="AT605" s="353">
        <f>IF(AR605=0,0,(AS605-AR605)/AR605*100)</f>
        <v>0</v>
      </c>
      <c r="AU605" s="354"/>
      <c r="AV605" s="354"/>
      <c r="AW605" s="353">
        <f>IF(AU605=0,0,(AV605-AU605)/AU605*100)</f>
        <v>0</v>
      </c>
      <c r="AX605" s="354"/>
      <c r="AY605" s="354"/>
      <c r="AZ605" s="353">
        <f>IF(AX605=0,0,(AY605-AX605)/AX605*100)</f>
        <v>0</v>
      </c>
      <c r="BA605" s="354"/>
      <c r="BB605" s="354"/>
      <c r="BC605" s="353">
        <f>IF(BA605=0,0,(BB605-BA605)/BA605*100)</f>
        <v>0</v>
      </c>
      <c r="BD605" s="354"/>
      <c r="BE605" s="354"/>
      <c r="BF605" s="353">
        <f>IF(BD605=0,0,(BE605-BD605)/BD605*100)</f>
        <v>0</v>
      </c>
      <c r="BG605" s="354"/>
      <c r="BH605" s="354"/>
      <c r="BI605" s="353">
        <f>IF(BG605=0,0,(BH605-BG605)/BG605*100)</f>
        <v>0</v>
      </c>
      <c r="BJ605" s="354"/>
      <c r="BK605" s="354"/>
      <c r="BL605" s="353">
        <f>IF(BJ605=0,0,(BK605-BJ605)/BJ605*100)</f>
        <v>0</v>
      </c>
      <c r="BM605" s="354"/>
      <c r="BN605" s="354"/>
      <c r="BO605" s="353">
        <f>IF(BM605=0,0,(BN605-BM605)/BM605*100)</f>
        <v>0</v>
      </c>
      <c r="BP605" s="354"/>
      <c r="BQ605" s="354"/>
      <c r="BR605" s="353">
        <f>IF(BP605=0,0,(BQ605-BP605)/BP605*100)</f>
        <v>0</v>
      </c>
      <c r="BS605" s="354"/>
      <c r="BT605" s="354"/>
      <c r="BU605" s="353">
        <f>IF(BS605=0,0,(BT605-BS605)/BS605*100)</f>
        <v>0</v>
      </c>
      <c r="BV605" s="354"/>
      <c r="BW605" s="354"/>
      <c r="BX605" s="353">
        <f>IF(BV605=0,0,(BW605-BV605)/BV605*100)</f>
        <v>0</v>
      </c>
      <c r="BY605" s="354"/>
      <c r="BZ605" s="354"/>
      <c r="CA605" s="353">
        <f>IF(BY605=0,0,(BZ605-BY605)/BY605*100)</f>
        <v>0</v>
      </c>
      <c r="CB605" s="354"/>
      <c r="CC605" s="354"/>
      <c r="CD605" s="353">
        <f>IF(CB605=0,0,(CC605-CB605)/CB605*100)</f>
        <v>0</v>
      </c>
      <c r="CE605" s="354"/>
      <c r="CF605" s="354"/>
      <c r="CG605" s="353">
        <f>IF(CE605=0,0,(CF605-CE605)/CE605*100)</f>
        <v>0</v>
      </c>
      <c r="CH605" s="354"/>
      <c r="CI605" s="354"/>
      <c r="CJ605" s="353">
        <f>IF(CH605=0,0,(CI605-CH605)/CH605*100)</f>
        <v>0</v>
      </c>
      <c r="CK605" s="354"/>
      <c r="CL605" s="354"/>
      <c r="CM605" s="353">
        <f>IF(CK605=0,0,(CL605-CK605)/CK605*100)</f>
        <v>0</v>
      </c>
      <c r="CN605" s="354"/>
      <c r="CO605" s="354"/>
      <c r="CP605" s="353">
        <f>IF(CN605=0,0,(CO605-CN605)/CN605*100)</f>
        <v>0</v>
      </c>
      <c r="CQ605" s="354"/>
      <c r="CR605" s="354"/>
      <c r="CS605" s="353">
        <f>IF(CQ605=0,0,(CR605-CQ605)/CQ605*100)</f>
        <v>0</v>
      </c>
      <c r="CT605" s="354"/>
      <c r="CU605" s="354"/>
      <c r="CV605" s="353">
        <f>IF(CT605=0,0,(CU605-CT605)/CT605*100)</f>
        <v>0</v>
      </c>
      <c r="CW605" s="354"/>
      <c r="CX605" s="354"/>
      <c r="CY605" s="353">
        <f>IF(CW605=0,0,(CX605-CW605)/CW605*100)</f>
        <v>0</v>
      </c>
      <c r="CZ605" s="354"/>
      <c r="DA605" s="354"/>
      <c r="DB605" s="353">
        <f>IF(CZ605=0,0,(DA605-CZ605)/CZ605*100)</f>
        <v>0</v>
      </c>
      <c r="DC605" s="354"/>
      <c r="DD605" s="354"/>
      <c r="DE605" s="353">
        <f>IF(DC605=0,0,(DD605-DC605)/DC605*100)</f>
        <v>0</v>
      </c>
      <c r="DF605" s="354"/>
      <c r="DG605" s="354"/>
      <c r="DH605" s="353">
        <f>IF(DF605=0,0,(DG605-DF605)/DF605*100)</f>
        <v>0</v>
      </c>
      <c r="DI605" s="354"/>
      <c r="DJ605" s="354"/>
      <c r="DK605" s="353">
        <f>IF(DI605=0,0,(DJ605-DI605)/DI605*100)</f>
        <v>0</v>
      </c>
      <c r="DL605" s="354"/>
      <c r="DM605" s="354"/>
      <c r="DN605" s="353">
        <f>IF(DL605=0,0,(DM605-DL605)/DL605*100)</f>
        <v>0</v>
      </c>
      <c r="DO605" s="354"/>
      <c r="DP605" s="354"/>
      <c r="DQ605" s="353">
        <f>IF(DO605=0,0,(DP605-DO605)/DO605*100)</f>
        <v>0</v>
      </c>
      <c r="DR605" s="354"/>
      <c r="DS605" s="354"/>
      <c r="DT605" s="353">
        <f>IF(DR605=0,0,(DS605-DR605)/DR605*100)</f>
        <v>0</v>
      </c>
      <c r="DU605" s="354"/>
      <c r="DV605" s="354"/>
      <c r="DW605" s="353">
        <f>IF(DU605=0,0,(DV605-DU605)/DU605*100)</f>
        <v>0</v>
      </c>
      <c r="DX605" s="354"/>
      <c r="DY605" s="354"/>
      <c r="DZ605" s="353">
        <f>IF(DX605=0,0,(DY605-DX605)/DX605*100)</f>
        <v>0</v>
      </c>
      <c r="EA605" s="354"/>
      <c r="EB605" s="354"/>
      <c r="EC605" s="353">
        <f>IF(EA605=0,0,(EB605-EA605)/EA605*100)</f>
        <v>0</v>
      </c>
      <c r="ED605" s="354"/>
      <c r="EE605" s="354"/>
      <c r="EF605" s="353">
        <f>IF(ED605=0,0,(EE605-ED605)/ED605*100)</f>
        <v>0</v>
      </c>
      <c r="EG605" s="354"/>
      <c r="EH605" s="354"/>
      <c r="EI605" s="353">
        <f>IF(EG605=0,0,(EH605-EG605)/EG605*100)</f>
        <v>0</v>
      </c>
      <c r="EJ605" s="354"/>
      <c r="EK605" s="354"/>
      <c r="EL605" s="353">
        <f>IF(EJ605=0,0,(EK605-EJ605)/EJ605*100)</f>
        <v>0</v>
      </c>
      <c r="EM605" s="354"/>
      <c r="EN605" s="354"/>
      <c r="EO605" s="353">
        <f>IF(EM605=0,0,(EN605-EM605)/EM605*100)</f>
        <v>0</v>
      </c>
      <c r="EP605" s="354"/>
      <c r="EQ605" s="354"/>
      <c r="ER605" s="353">
        <f>IF(EP605=0,0,(EQ605-EP605)/EP605*100)</f>
        <v>0</v>
      </c>
      <c r="ES605" s="354"/>
      <c r="ET605" s="354"/>
      <c r="EU605" s="353">
        <f>IF(ES605=0,0,(ET605-ES605)/ES605*100)</f>
        <v>0</v>
      </c>
      <c r="EV605" s="354"/>
      <c r="EW605" s="354"/>
      <c r="EX605" s="353">
        <f>IF(EV605=0,0,(EW605-EV605)/EV605*100)</f>
        <v>0</v>
      </c>
      <c r="EY605" s="354"/>
      <c r="EZ605" s="354"/>
      <c r="FA605" s="353">
        <f>IF(EY605=0,0,(EZ605-EY605)/EY605*100)</f>
        <v>0</v>
      </c>
      <c r="FB605" s="354"/>
      <c r="FC605" s="354"/>
      <c r="FD605" s="353">
        <f>IF(FB605=0,0,(FC605-FB605)/FB605*100)</f>
        <v>0</v>
      </c>
      <c r="FE605" s="354"/>
      <c r="FF605" s="354"/>
      <c r="FG605" s="353">
        <f>IF(FE605=0,0,(FF605-FE605)/FE605*100)</f>
        <v>0</v>
      </c>
    </row>
    <row r="606" spans="1:163" s="509" customFormat="1" ht="15" customHeight="1" outlineLevel="1">
      <c r="A606" s="509" t="str">
        <f t="shared" si="127"/>
        <v>1</v>
      </c>
      <c r="B606" s="104" t="s">
        <v>1181</v>
      </c>
      <c r="C606" s="509" t="s">
        <v>1568</v>
      </c>
      <c r="D606" s="509" t="s">
        <v>1604</v>
      </c>
      <c r="G606" s="509" t="b">
        <f>F582="двухставочный"</f>
        <v>0</v>
      </c>
      <c r="L606" s="356" t="s">
        <v>670</v>
      </c>
      <c r="M606" s="499" t="s">
        <v>311</v>
      </c>
      <c r="N606" s="493" t="e">
        <f>SUMIFS(INDEX(Калькуляция!$T$15:$AM$266,,MATCH(N$3,Калькуляция!$T$3:$AM$3,0)),Калькуляция!$A$15:$A$266,$A606,Калькуляция!$B$15:$B$266,$B606)</f>
        <v>#N/A</v>
      </c>
      <c r="O606" s="493" t="e">
        <f>SUMIFS(INDEX(Калькуляция!$T$15:$AM$266,,MATCH(O$3,Калькуляция!$T$3:$AM$3,0)),Калькуляция!$A$15:$A$266,$A606,Калькуляция!$B$15:$B$266,$B606)</f>
        <v>#N/A</v>
      </c>
      <c r="P606" s="501" t="e">
        <f>IF(N606=0,0,(O606-N606)/N606*100)</f>
        <v>#N/A</v>
      </c>
      <c r="Q606" s="493" t="e">
        <f>SUMIFS(INDEX(Калькуляция!$T$15:$AM$266,,MATCH(Q$3,Калькуляция!$T$3:$AM$3,0)),Калькуляция!$A$15:$A$266,$A606,Калькуляция!$B$15:$B$266,$B606)</f>
        <v>#N/A</v>
      </c>
      <c r="R606" s="493" t="e">
        <f>SUMIFS(INDEX(Калькуляция!$T$15:$AM$266,,MATCH(R$3,Калькуляция!$T$3:$AM$3,0)),Калькуляция!$A$15:$A$266,$A606,Калькуляция!$B$15:$B$266,$B606)</f>
        <v>#N/A</v>
      </c>
      <c r="S606" s="501" t="e">
        <f>IF(Q606=0,0,(R606-Q606)/Q606*100)</f>
        <v>#N/A</v>
      </c>
      <c r="T606" s="493" t="e">
        <f>SUMIFS(INDEX(Калькуляция!$T$15:$AM$266,,MATCH(T$3,Калькуляция!$T$3:$AM$3,0)),Калькуляция!$A$15:$A$266,$A606,Калькуляция!$B$15:$B$266,$B606)</f>
        <v>#N/A</v>
      </c>
      <c r="U606" s="493" t="e">
        <f>SUMIFS(INDEX(Калькуляция!$T$15:$AM$266,,MATCH(U$3,Калькуляция!$T$3:$AM$3,0)),Калькуляция!$A$15:$A$266,$A606,Калькуляция!$B$15:$B$266,$B606)</f>
        <v>#N/A</v>
      </c>
      <c r="V606" s="501" t="e">
        <f>IF(T606=0,0,(U606-T606)/T606*100)</f>
        <v>#N/A</v>
      </c>
      <c r="W606" s="493" t="e">
        <f>SUMIFS(INDEX(Калькуляция!$T$15:$AM$266,,MATCH(W$3,Калькуляция!$T$3:$AM$3,0)),Калькуляция!$A$15:$A$266,$A606,Калькуляция!$B$15:$B$266,$B606)</f>
        <v>#N/A</v>
      </c>
      <c r="X606" s="493" t="e">
        <f>SUMIFS(INDEX(Калькуляция!$T$15:$AM$266,,MATCH(X$3,Калькуляция!$T$3:$AM$3,0)),Калькуляция!$A$15:$A$266,$A606,Калькуляция!$B$15:$B$266,$B606)</f>
        <v>#N/A</v>
      </c>
      <c r="Y606" s="501" t="e">
        <f>IF(W606=0,0,(X606-W606)/W606*100)</f>
        <v>#N/A</v>
      </c>
      <c r="Z606" s="493" t="e">
        <f>SUMIFS(INDEX(Калькуляция!$T$15:$AM$266,,MATCH(Z$3,Калькуляция!$T$3:$AM$3,0)),Калькуляция!$A$15:$A$266,$A606,Калькуляция!$B$15:$B$266,$B606)</f>
        <v>#N/A</v>
      </c>
      <c r="AA606" s="493" t="e">
        <f>SUMIFS(INDEX(Калькуляция!$T$15:$AM$266,,MATCH(AA$3,Калькуляция!$T$3:$AM$3,0)),Калькуляция!$A$15:$A$266,$A606,Калькуляция!$B$15:$B$266,$B606)</f>
        <v>#N/A</v>
      </c>
      <c r="AB606" s="501" t="e">
        <f>IF(Z606=0,0,(AA606-Z606)/Z606*100)</f>
        <v>#N/A</v>
      </c>
      <c r="AC606" s="493" t="e">
        <f>SUMIFS(INDEX(Калькуляция!$T$15:$AM$266,,MATCH(AC$3,Калькуляция!$T$3:$AM$3,0)),Калькуляция!$A$15:$A$266,$A606,Калькуляция!$B$15:$B$266,$B606)</f>
        <v>#N/A</v>
      </c>
      <c r="AD606" s="493" t="e">
        <f>SUMIFS(INDEX(Калькуляция!$T$15:$AM$266,,MATCH(AD$3,Калькуляция!$T$3:$AM$3,0)),Калькуляция!$A$15:$A$266,$A606,Калькуляция!$B$15:$B$266,$B606)</f>
        <v>#N/A</v>
      </c>
      <c r="AE606" s="501" t="e">
        <f>IF(AC606=0,0,(AD606-AC606)/AC606*100)</f>
        <v>#N/A</v>
      </c>
      <c r="AF606" s="493" t="e">
        <f>SUMIFS(INDEX(Калькуляция!$T$15:$AM$266,,MATCH(AF$3,Калькуляция!$T$3:$AM$3,0)),Калькуляция!$A$15:$A$266,$A606,Калькуляция!$B$15:$B$266,$B606)</f>
        <v>#N/A</v>
      </c>
      <c r="AG606" s="493" t="e">
        <f>SUMIFS(INDEX(Калькуляция!$T$15:$AM$266,,MATCH(AG$3,Калькуляция!$T$3:$AM$3,0)),Калькуляция!$A$15:$A$266,$A606,Калькуляция!$B$15:$B$266,$B606)</f>
        <v>#N/A</v>
      </c>
      <c r="AH606" s="501" t="e">
        <f>IF(AF606=0,0,(AG606-AF606)/AF606*100)</f>
        <v>#N/A</v>
      </c>
      <c r="AI606" s="493" t="e">
        <f>SUMIFS(INDEX(Калькуляция!$T$15:$AM$266,,MATCH(AI$3,Калькуляция!$T$3:$AM$3,0)),Калькуляция!$A$15:$A$266,$A606,Калькуляция!$B$15:$B$266,$B606)</f>
        <v>#N/A</v>
      </c>
      <c r="AJ606" s="493" t="e">
        <f>SUMIFS(INDEX(Калькуляция!$T$15:$AM$266,,MATCH(AJ$3,Калькуляция!$T$3:$AM$3,0)),Калькуляция!$A$15:$A$266,$A606,Калькуляция!$B$15:$B$266,$B606)</f>
        <v>#N/A</v>
      </c>
      <c r="AK606" s="501" t="e">
        <f>IF(AI606=0,0,(AJ606-AI606)/AI606*100)</f>
        <v>#N/A</v>
      </c>
      <c r="AL606" s="493" t="e">
        <f>SUMIFS(INDEX(Калькуляция!$T$15:$AM$266,,MATCH(AL$3,Калькуляция!$T$3:$AM$3,0)),Калькуляция!$A$15:$A$266,$A606,Калькуляция!$B$15:$B$266,$B606)</f>
        <v>#N/A</v>
      </c>
      <c r="AM606" s="493" t="e">
        <f>SUMIFS(INDEX(Калькуляция!$T$15:$AM$266,,MATCH(AM$3,Калькуляция!$T$3:$AM$3,0)),Калькуляция!$A$15:$A$266,$A606,Калькуляция!$B$15:$B$266,$B606)</f>
        <v>#N/A</v>
      </c>
      <c r="AN606" s="501" t="e">
        <f>IF(AL606=0,0,(AM606-AL606)/AL606*100)</f>
        <v>#N/A</v>
      </c>
      <c r="AO606" s="493" t="e">
        <f>SUMIFS(INDEX(Калькуляция!$T$15:$AM$266,,MATCH(AO$3,Калькуляция!$T$3:$AM$3,0)),Калькуляция!$A$15:$A$266,$A606,Калькуляция!$B$15:$B$266,$B606)</f>
        <v>#N/A</v>
      </c>
      <c r="AP606" s="493" t="e">
        <f>SUMIFS(INDEX(Калькуляция!$T$15:$AM$266,,MATCH(AP$3,Калькуляция!$T$3:$AM$3,0)),Калькуляция!$A$15:$A$266,$A606,Калькуляция!$B$15:$B$266,$B606)</f>
        <v>#N/A</v>
      </c>
      <c r="AQ606" s="548" t="e">
        <f>IF(AO606=0,0,(AP606-AO606)/AO606*100)</f>
        <v>#N/A</v>
      </c>
      <c r="AR606" s="493"/>
      <c r="AS606" s="493"/>
      <c r="AT606" s="548">
        <f>IF(AR606=0,0,(AS606-AR606)/AR606*100)</f>
        <v>0</v>
      </c>
      <c r="AU606" s="493"/>
      <c r="AV606" s="493"/>
      <c r="AW606" s="548">
        <f>IF(AU606=0,0,(AV606-AU606)/AU606*100)</f>
        <v>0</v>
      </c>
      <c r="AX606" s="493"/>
      <c r="AY606" s="493"/>
      <c r="AZ606" s="548">
        <f>IF(AX606=0,0,(AY606-AX606)/AX606*100)</f>
        <v>0</v>
      </c>
      <c r="BA606" s="493"/>
      <c r="BB606" s="493"/>
      <c r="BC606" s="548">
        <f>IF(BA606=0,0,(BB606-BA606)/BA606*100)</f>
        <v>0</v>
      </c>
      <c r="BD606" s="493"/>
      <c r="BE606" s="493"/>
      <c r="BF606" s="548">
        <f>IF(BD606=0,0,(BE606-BD606)/BD606*100)</f>
        <v>0</v>
      </c>
      <c r="BG606" s="493"/>
      <c r="BH606" s="493"/>
      <c r="BI606" s="548">
        <f>IF(BG606=0,0,(BH606-BG606)/BG606*100)</f>
        <v>0</v>
      </c>
      <c r="BJ606" s="493"/>
      <c r="BK606" s="493"/>
      <c r="BL606" s="548">
        <f>IF(BJ606=0,0,(BK606-BJ606)/BJ606*100)</f>
        <v>0</v>
      </c>
      <c r="BM606" s="493"/>
      <c r="BN606" s="493"/>
      <c r="BO606" s="548">
        <f>IF(BM606=0,0,(BN606-BM606)/BM606*100)</f>
        <v>0</v>
      </c>
      <c r="BP606" s="493"/>
      <c r="BQ606" s="493"/>
      <c r="BR606" s="548">
        <f>IF(BP606=0,0,(BQ606-BP606)/BP606*100)</f>
        <v>0</v>
      </c>
      <c r="BS606" s="493"/>
      <c r="BT606" s="493"/>
      <c r="BU606" s="548">
        <f>IF(BS606=0,0,(BT606-BS606)/BS606*100)</f>
        <v>0</v>
      </c>
      <c r="BV606" s="493"/>
      <c r="BW606" s="493"/>
      <c r="BX606" s="548">
        <f>IF(BV606=0,0,(BW606-BV606)/BV606*100)</f>
        <v>0</v>
      </c>
      <c r="BY606" s="493"/>
      <c r="BZ606" s="493"/>
      <c r="CA606" s="548">
        <f>IF(BY606=0,0,(BZ606-BY606)/BY606*100)</f>
        <v>0</v>
      </c>
      <c r="CB606" s="493"/>
      <c r="CC606" s="493"/>
      <c r="CD606" s="548">
        <f>IF(CB606=0,0,(CC606-CB606)/CB606*100)</f>
        <v>0</v>
      </c>
      <c r="CE606" s="493"/>
      <c r="CF606" s="493"/>
      <c r="CG606" s="548">
        <f>IF(CE606=0,0,(CF606-CE606)/CE606*100)</f>
        <v>0</v>
      </c>
      <c r="CH606" s="493"/>
      <c r="CI606" s="493"/>
      <c r="CJ606" s="548">
        <f>IF(CH606=0,0,(CI606-CH606)/CH606*100)</f>
        <v>0</v>
      </c>
      <c r="CK606" s="493"/>
      <c r="CL606" s="493"/>
      <c r="CM606" s="548">
        <f>IF(CK606=0,0,(CL606-CK606)/CK606*100)</f>
        <v>0</v>
      </c>
      <c r="CN606" s="493"/>
      <c r="CO606" s="493"/>
      <c r="CP606" s="548">
        <f>IF(CN606=0,0,(CO606-CN606)/CN606*100)</f>
        <v>0</v>
      </c>
      <c r="CQ606" s="493"/>
      <c r="CR606" s="493"/>
      <c r="CS606" s="548">
        <f>IF(CQ606=0,0,(CR606-CQ606)/CQ606*100)</f>
        <v>0</v>
      </c>
      <c r="CT606" s="493"/>
      <c r="CU606" s="493"/>
      <c r="CV606" s="548">
        <f>IF(CT606=0,0,(CU606-CT606)/CT606*100)</f>
        <v>0</v>
      </c>
      <c r="CW606" s="493"/>
      <c r="CX606" s="493"/>
      <c r="CY606" s="548">
        <f>IF(CW606=0,0,(CX606-CW606)/CW606*100)</f>
        <v>0</v>
      </c>
      <c r="CZ606" s="493"/>
      <c r="DA606" s="493"/>
      <c r="DB606" s="548">
        <f>IF(CZ606=0,0,(DA606-CZ606)/CZ606*100)</f>
        <v>0</v>
      </c>
      <c r="DC606" s="493"/>
      <c r="DD606" s="493"/>
      <c r="DE606" s="548">
        <f>IF(DC606=0,0,(DD606-DC606)/DC606*100)</f>
        <v>0</v>
      </c>
      <c r="DF606" s="493"/>
      <c r="DG606" s="493"/>
      <c r="DH606" s="548">
        <f>IF(DF606=0,0,(DG606-DF606)/DF606*100)</f>
        <v>0</v>
      </c>
      <c r="DI606" s="493"/>
      <c r="DJ606" s="493"/>
      <c r="DK606" s="548">
        <f>IF(DI606=0,0,(DJ606-DI606)/DI606*100)</f>
        <v>0</v>
      </c>
      <c r="DL606" s="493"/>
      <c r="DM606" s="493"/>
      <c r="DN606" s="548">
        <f>IF(DL606=0,0,(DM606-DL606)/DL606*100)</f>
        <v>0</v>
      </c>
      <c r="DO606" s="493"/>
      <c r="DP606" s="493"/>
      <c r="DQ606" s="548">
        <f>IF(DO606=0,0,(DP606-DO606)/DO606*100)</f>
        <v>0</v>
      </c>
      <c r="DR606" s="493"/>
      <c r="DS606" s="493"/>
      <c r="DT606" s="548">
        <f>IF(DR606=0,0,(DS606-DR606)/DR606*100)</f>
        <v>0</v>
      </c>
      <c r="DU606" s="493"/>
      <c r="DV606" s="493"/>
      <c r="DW606" s="548">
        <f>IF(DU606=0,0,(DV606-DU606)/DU606*100)</f>
        <v>0</v>
      </c>
      <c r="DX606" s="493"/>
      <c r="DY606" s="493"/>
      <c r="DZ606" s="548">
        <f>IF(DX606=0,0,(DY606-DX606)/DX606*100)</f>
        <v>0</v>
      </c>
      <c r="EA606" s="493"/>
      <c r="EB606" s="493"/>
      <c r="EC606" s="548">
        <f>IF(EA606=0,0,(EB606-EA606)/EA606*100)</f>
        <v>0</v>
      </c>
      <c r="ED606" s="493"/>
      <c r="EE606" s="493"/>
      <c r="EF606" s="548">
        <f>IF(ED606=0,0,(EE606-ED606)/ED606*100)</f>
        <v>0</v>
      </c>
      <c r="EG606" s="493"/>
      <c r="EH606" s="493"/>
      <c r="EI606" s="548">
        <f>IF(EG606=0,0,(EH606-EG606)/EG606*100)</f>
        <v>0</v>
      </c>
      <c r="EJ606" s="493"/>
      <c r="EK606" s="493"/>
      <c r="EL606" s="548">
        <f>IF(EJ606=0,0,(EK606-EJ606)/EJ606*100)</f>
        <v>0</v>
      </c>
      <c r="EM606" s="493"/>
      <c r="EN606" s="493"/>
      <c r="EO606" s="548">
        <f>IF(EM606=0,0,(EN606-EM606)/EM606*100)</f>
        <v>0</v>
      </c>
      <c r="EP606" s="493"/>
      <c r="EQ606" s="493"/>
      <c r="ER606" s="548">
        <f>IF(EP606=0,0,(EQ606-EP606)/EP606*100)</f>
        <v>0</v>
      </c>
      <c r="ES606" s="493"/>
      <c r="ET606" s="493"/>
      <c r="EU606" s="548">
        <f>IF(ES606=0,0,(ET606-ES606)/ES606*100)</f>
        <v>0</v>
      </c>
      <c r="EV606" s="493"/>
      <c r="EW606" s="493"/>
      <c r="EX606" s="548">
        <f>IF(EV606=0,0,(EW606-EV606)/EV606*100)</f>
        <v>0</v>
      </c>
      <c r="EY606" s="493"/>
      <c r="EZ606" s="493"/>
      <c r="FA606" s="548">
        <f>IF(EY606=0,0,(EZ606-EY606)/EY606*100)</f>
        <v>0</v>
      </c>
      <c r="FB606" s="493"/>
      <c r="FC606" s="493"/>
      <c r="FD606" s="548">
        <f>IF(FB606=0,0,(FC606-FB606)/FB606*100)</f>
        <v>0</v>
      </c>
      <c r="FE606" s="493"/>
      <c r="FF606" s="493"/>
      <c r="FG606" s="548">
        <f>IF(FE606=0,0,(FF606-FE606)/FE606*100)</f>
        <v>0</v>
      </c>
    </row>
    <row r="607" spans="1:163" s="509" customFormat="1" ht="24.75" customHeight="1" outlineLevel="1">
      <c r="A607" s="509" t="str">
        <f t="shared" si="127"/>
        <v>1</v>
      </c>
      <c r="C607" s="509" t="s">
        <v>1569</v>
      </c>
      <c r="D607" s="509" t="s">
        <v>1604</v>
      </c>
      <c r="G607" s="509" t="b">
        <f>F582="двухставочный"</f>
        <v>0</v>
      </c>
      <c r="L607" s="356" t="s">
        <v>671</v>
      </c>
      <c r="M607" s="499" t="s">
        <v>672</v>
      </c>
      <c r="N607" s="354"/>
      <c r="O607" s="354"/>
      <c r="P607" s="353">
        <f>IF(N607=0,0,(O607-N607)/N607*100)</f>
        <v>0</v>
      </c>
      <c r="Q607" s="354"/>
      <c r="R607" s="354"/>
      <c r="S607" s="353">
        <f>IF(Q607=0,0,(R607-Q607)/Q607*100)</f>
        <v>0</v>
      </c>
      <c r="T607" s="354"/>
      <c r="U607" s="354"/>
      <c r="V607" s="353">
        <f>IF(T607=0,0,(U607-T607)/T607*100)</f>
        <v>0</v>
      </c>
      <c r="W607" s="354"/>
      <c r="X607" s="354"/>
      <c r="Y607" s="353">
        <f>IF(W607=0,0,(X607-W607)/W607*100)</f>
        <v>0</v>
      </c>
      <c r="Z607" s="354"/>
      <c r="AA607" s="354"/>
      <c r="AB607" s="353">
        <f>IF(Z607=0,0,(AA607-Z607)/Z607*100)</f>
        <v>0</v>
      </c>
      <c r="AC607" s="354"/>
      <c r="AD607" s="354"/>
      <c r="AE607" s="353">
        <f>IF(AC607=0,0,(AD607-AC607)/AC607*100)</f>
        <v>0</v>
      </c>
      <c r="AF607" s="354"/>
      <c r="AG607" s="354"/>
      <c r="AH607" s="353">
        <f>IF(AF607=0,0,(AG607-AF607)/AF607*100)</f>
        <v>0</v>
      </c>
      <c r="AI607" s="354"/>
      <c r="AJ607" s="354"/>
      <c r="AK607" s="353">
        <f>IF(AI607=0,0,(AJ607-AI607)/AI607*100)</f>
        <v>0</v>
      </c>
      <c r="AL607" s="354"/>
      <c r="AM607" s="354"/>
      <c r="AN607" s="353">
        <f>IF(AL607=0,0,(AM607-AL607)/AL607*100)</f>
        <v>0</v>
      </c>
      <c r="AO607" s="354"/>
      <c r="AP607" s="354"/>
      <c r="AQ607" s="353">
        <f>IF(AO607=0,0,(AP607-AO607)/AO607*100)</f>
        <v>0</v>
      </c>
      <c r="AR607" s="354"/>
      <c r="AS607" s="354"/>
      <c r="AT607" s="353">
        <f>IF(AR607=0,0,(AS607-AR607)/AR607*100)</f>
        <v>0</v>
      </c>
      <c r="AU607" s="354"/>
      <c r="AV607" s="354"/>
      <c r="AW607" s="353">
        <f>IF(AU607=0,0,(AV607-AU607)/AU607*100)</f>
        <v>0</v>
      </c>
      <c r="AX607" s="354"/>
      <c r="AY607" s="354"/>
      <c r="AZ607" s="353">
        <f>IF(AX607=0,0,(AY607-AX607)/AX607*100)</f>
        <v>0</v>
      </c>
      <c r="BA607" s="354"/>
      <c r="BB607" s="354"/>
      <c r="BC607" s="353">
        <f>IF(BA607=0,0,(BB607-BA607)/BA607*100)</f>
        <v>0</v>
      </c>
      <c r="BD607" s="354"/>
      <c r="BE607" s="354"/>
      <c r="BF607" s="353">
        <f>IF(BD607=0,0,(BE607-BD607)/BD607*100)</f>
        <v>0</v>
      </c>
      <c r="BG607" s="354"/>
      <c r="BH607" s="354"/>
      <c r="BI607" s="353">
        <f>IF(BG607=0,0,(BH607-BG607)/BG607*100)</f>
        <v>0</v>
      </c>
      <c r="BJ607" s="354"/>
      <c r="BK607" s="354"/>
      <c r="BL607" s="353">
        <f>IF(BJ607=0,0,(BK607-BJ607)/BJ607*100)</f>
        <v>0</v>
      </c>
      <c r="BM607" s="354"/>
      <c r="BN607" s="354"/>
      <c r="BO607" s="353">
        <f>IF(BM607=0,0,(BN607-BM607)/BM607*100)</f>
        <v>0</v>
      </c>
      <c r="BP607" s="354"/>
      <c r="BQ607" s="354"/>
      <c r="BR607" s="353">
        <f>IF(BP607=0,0,(BQ607-BP607)/BP607*100)</f>
        <v>0</v>
      </c>
      <c r="BS607" s="354"/>
      <c r="BT607" s="354"/>
      <c r="BU607" s="353">
        <f>IF(BS607=0,0,(BT607-BS607)/BS607*100)</f>
        <v>0</v>
      </c>
      <c r="BV607" s="354"/>
      <c r="BW607" s="354"/>
      <c r="BX607" s="353">
        <f>IF(BV607=0,0,(BW607-BV607)/BV607*100)</f>
        <v>0</v>
      </c>
      <c r="BY607" s="354"/>
      <c r="BZ607" s="354"/>
      <c r="CA607" s="353">
        <f>IF(BY607=0,0,(BZ607-BY607)/BY607*100)</f>
        <v>0</v>
      </c>
      <c r="CB607" s="354"/>
      <c r="CC607" s="354"/>
      <c r="CD607" s="353">
        <f>IF(CB607=0,0,(CC607-CB607)/CB607*100)</f>
        <v>0</v>
      </c>
      <c r="CE607" s="354"/>
      <c r="CF607" s="354"/>
      <c r="CG607" s="353">
        <f>IF(CE607=0,0,(CF607-CE607)/CE607*100)</f>
        <v>0</v>
      </c>
      <c r="CH607" s="354"/>
      <c r="CI607" s="354"/>
      <c r="CJ607" s="353">
        <f>IF(CH607=0,0,(CI607-CH607)/CH607*100)</f>
        <v>0</v>
      </c>
      <c r="CK607" s="354"/>
      <c r="CL607" s="354"/>
      <c r="CM607" s="353">
        <f>IF(CK607=0,0,(CL607-CK607)/CK607*100)</f>
        <v>0</v>
      </c>
      <c r="CN607" s="354"/>
      <c r="CO607" s="354"/>
      <c r="CP607" s="353">
        <f>IF(CN607=0,0,(CO607-CN607)/CN607*100)</f>
        <v>0</v>
      </c>
      <c r="CQ607" s="354"/>
      <c r="CR607" s="354"/>
      <c r="CS607" s="353">
        <f>IF(CQ607=0,0,(CR607-CQ607)/CQ607*100)</f>
        <v>0</v>
      </c>
      <c r="CT607" s="354"/>
      <c r="CU607" s="354"/>
      <c r="CV607" s="353">
        <f>IF(CT607=0,0,(CU607-CT607)/CT607*100)</f>
        <v>0</v>
      </c>
      <c r="CW607" s="354"/>
      <c r="CX607" s="354"/>
      <c r="CY607" s="353">
        <f>IF(CW607=0,0,(CX607-CW607)/CW607*100)</f>
        <v>0</v>
      </c>
      <c r="CZ607" s="354"/>
      <c r="DA607" s="354"/>
      <c r="DB607" s="353">
        <f>IF(CZ607=0,0,(DA607-CZ607)/CZ607*100)</f>
        <v>0</v>
      </c>
      <c r="DC607" s="354"/>
      <c r="DD607" s="354"/>
      <c r="DE607" s="353">
        <f>IF(DC607=0,0,(DD607-DC607)/DC607*100)</f>
        <v>0</v>
      </c>
      <c r="DF607" s="354"/>
      <c r="DG607" s="354"/>
      <c r="DH607" s="353">
        <f>IF(DF607=0,0,(DG607-DF607)/DF607*100)</f>
        <v>0</v>
      </c>
      <c r="DI607" s="354"/>
      <c r="DJ607" s="354"/>
      <c r="DK607" s="353">
        <f>IF(DI607=0,0,(DJ607-DI607)/DI607*100)</f>
        <v>0</v>
      </c>
      <c r="DL607" s="354"/>
      <c r="DM607" s="354"/>
      <c r="DN607" s="353">
        <f>IF(DL607=0,0,(DM607-DL607)/DL607*100)</f>
        <v>0</v>
      </c>
      <c r="DO607" s="354"/>
      <c r="DP607" s="354"/>
      <c r="DQ607" s="353">
        <f>IF(DO607=0,0,(DP607-DO607)/DO607*100)</f>
        <v>0</v>
      </c>
      <c r="DR607" s="354"/>
      <c r="DS607" s="354"/>
      <c r="DT607" s="353">
        <f>IF(DR607=0,0,(DS607-DR607)/DR607*100)</f>
        <v>0</v>
      </c>
      <c r="DU607" s="354"/>
      <c r="DV607" s="354"/>
      <c r="DW607" s="353">
        <f>IF(DU607=0,0,(DV607-DU607)/DU607*100)</f>
        <v>0</v>
      </c>
      <c r="DX607" s="354"/>
      <c r="DY607" s="354"/>
      <c r="DZ607" s="353">
        <f>IF(DX607=0,0,(DY607-DX607)/DX607*100)</f>
        <v>0</v>
      </c>
      <c r="EA607" s="354"/>
      <c r="EB607" s="354"/>
      <c r="EC607" s="353">
        <f>IF(EA607=0,0,(EB607-EA607)/EA607*100)</f>
        <v>0</v>
      </c>
      <c r="ED607" s="354"/>
      <c r="EE607" s="354"/>
      <c r="EF607" s="353">
        <f>IF(ED607=0,0,(EE607-ED607)/ED607*100)</f>
        <v>0</v>
      </c>
      <c r="EG607" s="354"/>
      <c r="EH607" s="354"/>
      <c r="EI607" s="353">
        <f>IF(EG607=0,0,(EH607-EG607)/EG607*100)</f>
        <v>0</v>
      </c>
      <c r="EJ607" s="354"/>
      <c r="EK607" s="354"/>
      <c r="EL607" s="353">
        <f>IF(EJ607=0,0,(EK607-EJ607)/EJ607*100)</f>
        <v>0</v>
      </c>
      <c r="EM607" s="354"/>
      <c r="EN607" s="354"/>
      <c r="EO607" s="353">
        <f>IF(EM607=0,0,(EN607-EM607)/EM607*100)</f>
        <v>0</v>
      </c>
      <c r="EP607" s="354"/>
      <c r="EQ607" s="354"/>
      <c r="ER607" s="353">
        <f>IF(EP607=0,0,(EQ607-EP607)/EP607*100)</f>
        <v>0</v>
      </c>
      <c r="ES607" s="354"/>
      <c r="ET607" s="354"/>
      <c r="EU607" s="353">
        <f>IF(ES607=0,0,(ET607-ES607)/ES607*100)</f>
        <v>0</v>
      </c>
      <c r="EV607" s="354"/>
      <c r="EW607" s="354"/>
      <c r="EX607" s="353">
        <f>IF(EV607=0,0,(EW607-EV607)/EV607*100)</f>
        <v>0</v>
      </c>
      <c r="EY607" s="354"/>
      <c r="EZ607" s="354"/>
      <c r="FA607" s="353">
        <f>IF(EY607=0,0,(EZ607-EY607)/EY607*100)</f>
        <v>0</v>
      </c>
      <c r="FB607" s="354"/>
      <c r="FC607" s="354"/>
      <c r="FD607" s="353">
        <f>IF(FB607=0,0,(FC607-FB607)/FB607*100)</f>
        <v>0</v>
      </c>
      <c r="FE607" s="354"/>
      <c r="FF607" s="354"/>
      <c r="FG607" s="353">
        <f>IF(FE607=0,0,(FF607-FE607)/FE607*100)</f>
        <v>0</v>
      </c>
    </row>
    <row r="608" spans="1:163" s="509" customFormat="1" ht="15" customHeight="1" outlineLevel="1">
      <c r="A608" s="509" t="str">
        <f t="shared" si="127"/>
        <v>1</v>
      </c>
      <c r="C608" s="509" t="s">
        <v>1570</v>
      </c>
      <c r="D608" s="509" t="s">
        <v>1604</v>
      </c>
      <c r="G608" s="509" t="b">
        <f>F582="двухставочный"</f>
        <v>0</v>
      </c>
      <c r="L608" s="356" t="s">
        <v>673</v>
      </c>
      <c r="M608" s="499" t="s">
        <v>674</v>
      </c>
      <c r="N608" s="354"/>
      <c r="O608" s="354"/>
      <c r="P608" s="353">
        <f>IF(N608=0,0,(O608-N608)/N608*100)</f>
        <v>0</v>
      </c>
      <c r="Q608" s="354"/>
      <c r="R608" s="354"/>
      <c r="S608" s="353">
        <f>IF(Q608=0,0,(R608-Q608)/Q608*100)</f>
        <v>0</v>
      </c>
      <c r="T608" s="354"/>
      <c r="U608" s="354"/>
      <c r="V608" s="353">
        <f>IF(T608=0,0,(U608-T608)/T608*100)</f>
        <v>0</v>
      </c>
      <c r="W608" s="354"/>
      <c r="X608" s="354"/>
      <c r="Y608" s="353">
        <f>IF(W608=0,0,(X608-W608)/W608*100)</f>
        <v>0</v>
      </c>
      <c r="Z608" s="354"/>
      <c r="AA608" s="354"/>
      <c r="AB608" s="353">
        <f>IF(Z608=0,0,(AA608-Z608)/Z608*100)</f>
        <v>0</v>
      </c>
      <c r="AC608" s="354"/>
      <c r="AD608" s="354"/>
      <c r="AE608" s="353">
        <f>IF(AC608=0,0,(AD608-AC608)/AC608*100)</f>
        <v>0</v>
      </c>
      <c r="AF608" s="354"/>
      <c r="AG608" s="354"/>
      <c r="AH608" s="353">
        <f>IF(AF608=0,0,(AG608-AF608)/AF608*100)</f>
        <v>0</v>
      </c>
      <c r="AI608" s="354"/>
      <c r="AJ608" s="354"/>
      <c r="AK608" s="353">
        <f>IF(AI608=0,0,(AJ608-AI608)/AI608*100)</f>
        <v>0</v>
      </c>
      <c r="AL608" s="354"/>
      <c r="AM608" s="354"/>
      <c r="AN608" s="353">
        <f>IF(AL608=0,0,(AM608-AL608)/AL608*100)</f>
        <v>0</v>
      </c>
      <c r="AO608" s="354"/>
      <c r="AP608" s="354"/>
      <c r="AQ608" s="353">
        <f>IF(AO608=0,0,(AP608-AO608)/AO608*100)</f>
        <v>0</v>
      </c>
      <c r="AR608" s="354"/>
      <c r="AS608" s="354"/>
      <c r="AT608" s="353">
        <f>IF(AR608=0,0,(AS608-AR608)/AR608*100)</f>
        <v>0</v>
      </c>
      <c r="AU608" s="354"/>
      <c r="AV608" s="354"/>
      <c r="AW608" s="353">
        <f>IF(AU608=0,0,(AV608-AU608)/AU608*100)</f>
        <v>0</v>
      </c>
      <c r="AX608" s="354"/>
      <c r="AY608" s="354"/>
      <c r="AZ608" s="353">
        <f>IF(AX608=0,0,(AY608-AX608)/AX608*100)</f>
        <v>0</v>
      </c>
      <c r="BA608" s="354"/>
      <c r="BB608" s="354"/>
      <c r="BC608" s="353">
        <f>IF(BA608=0,0,(BB608-BA608)/BA608*100)</f>
        <v>0</v>
      </c>
      <c r="BD608" s="354"/>
      <c r="BE608" s="354"/>
      <c r="BF608" s="353">
        <f>IF(BD608=0,0,(BE608-BD608)/BD608*100)</f>
        <v>0</v>
      </c>
      <c r="BG608" s="354"/>
      <c r="BH608" s="354"/>
      <c r="BI608" s="353">
        <f>IF(BG608=0,0,(BH608-BG608)/BG608*100)</f>
        <v>0</v>
      </c>
      <c r="BJ608" s="354"/>
      <c r="BK608" s="354"/>
      <c r="BL608" s="353">
        <f>IF(BJ608=0,0,(BK608-BJ608)/BJ608*100)</f>
        <v>0</v>
      </c>
      <c r="BM608" s="354"/>
      <c r="BN608" s="354"/>
      <c r="BO608" s="353">
        <f>IF(BM608=0,0,(BN608-BM608)/BM608*100)</f>
        <v>0</v>
      </c>
      <c r="BP608" s="354"/>
      <c r="BQ608" s="354"/>
      <c r="BR608" s="353">
        <f>IF(BP608=0,0,(BQ608-BP608)/BP608*100)</f>
        <v>0</v>
      </c>
      <c r="BS608" s="354"/>
      <c r="BT608" s="354"/>
      <c r="BU608" s="353">
        <f>IF(BS608=0,0,(BT608-BS608)/BS608*100)</f>
        <v>0</v>
      </c>
      <c r="BV608" s="354"/>
      <c r="BW608" s="354"/>
      <c r="BX608" s="353">
        <f>IF(BV608=0,0,(BW608-BV608)/BV608*100)</f>
        <v>0</v>
      </c>
      <c r="BY608" s="354"/>
      <c r="BZ608" s="354"/>
      <c r="CA608" s="353">
        <f>IF(BY608=0,0,(BZ608-BY608)/BY608*100)</f>
        <v>0</v>
      </c>
      <c r="CB608" s="354"/>
      <c r="CC608" s="354"/>
      <c r="CD608" s="353">
        <f>IF(CB608=0,0,(CC608-CB608)/CB608*100)</f>
        <v>0</v>
      </c>
      <c r="CE608" s="354"/>
      <c r="CF608" s="354"/>
      <c r="CG608" s="353">
        <f>IF(CE608=0,0,(CF608-CE608)/CE608*100)</f>
        <v>0</v>
      </c>
      <c r="CH608" s="354"/>
      <c r="CI608" s="354"/>
      <c r="CJ608" s="353">
        <f>IF(CH608=0,0,(CI608-CH608)/CH608*100)</f>
        <v>0</v>
      </c>
      <c r="CK608" s="354"/>
      <c r="CL608" s="354"/>
      <c r="CM608" s="353">
        <f>IF(CK608=0,0,(CL608-CK608)/CK608*100)</f>
        <v>0</v>
      </c>
      <c r="CN608" s="354"/>
      <c r="CO608" s="354"/>
      <c r="CP608" s="353">
        <f>IF(CN608=0,0,(CO608-CN608)/CN608*100)</f>
        <v>0</v>
      </c>
      <c r="CQ608" s="354"/>
      <c r="CR608" s="354"/>
      <c r="CS608" s="353">
        <f>IF(CQ608=0,0,(CR608-CQ608)/CQ608*100)</f>
        <v>0</v>
      </c>
      <c r="CT608" s="354"/>
      <c r="CU608" s="354"/>
      <c r="CV608" s="353">
        <f>IF(CT608=0,0,(CU608-CT608)/CT608*100)</f>
        <v>0</v>
      </c>
      <c r="CW608" s="354"/>
      <c r="CX608" s="354"/>
      <c r="CY608" s="353">
        <f>IF(CW608=0,0,(CX608-CW608)/CW608*100)</f>
        <v>0</v>
      </c>
      <c r="CZ608" s="354"/>
      <c r="DA608" s="354"/>
      <c r="DB608" s="353">
        <f>IF(CZ608=0,0,(DA608-CZ608)/CZ608*100)</f>
        <v>0</v>
      </c>
      <c r="DC608" s="354"/>
      <c r="DD608" s="354"/>
      <c r="DE608" s="353">
        <f>IF(DC608=0,0,(DD608-DC608)/DC608*100)</f>
        <v>0</v>
      </c>
      <c r="DF608" s="354"/>
      <c r="DG608" s="354"/>
      <c r="DH608" s="353">
        <f>IF(DF608=0,0,(DG608-DF608)/DF608*100)</f>
        <v>0</v>
      </c>
      <c r="DI608" s="354"/>
      <c r="DJ608" s="354"/>
      <c r="DK608" s="353">
        <f>IF(DI608=0,0,(DJ608-DI608)/DI608*100)</f>
        <v>0</v>
      </c>
      <c r="DL608" s="354"/>
      <c r="DM608" s="354"/>
      <c r="DN608" s="353">
        <f>IF(DL608=0,0,(DM608-DL608)/DL608*100)</f>
        <v>0</v>
      </c>
      <c r="DO608" s="354"/>
      <c r="DP608" s="354"/>
      <c r="DQ608" s="353">
        <f>IF(DO608=0,0,(DP608-DO608)/DO608*100)</f>
        <v>0</v>
      </c>
      <c r="DR608" s="354"/>
      <c r="DS608" s="354"/>
      <c r="DT608" s="353">
        <f>IF(DR608=0,0,(DS608-DR608)/DR608*100)</f>
        <v>0</v>
      </c>
      <c r="DU608" s="354"/>
      <c r="DV608" s="354"/>
      <c r="DW608" s="353">
        <f>IF(DU608=0,0,(DV608-DU608)/DU608*100)</f>
        <v>0</v>
      </c>
      <c r="DX608" s="354"/>
      <c r="DY608" s="354"/>
      <c r="DZ608" s="353">
        <f>IF(DX608=0,0,(DY608-DX608)/DX608*100)</f>
        <v>0</v>
      </c>
      <c r="EA608" s="354"/>
      <c r="EB608" s="354"/>
      <c r="EC608" s="353">
        <f>IF(EA608=0,0,(EB608-EA608)/EA608*100)</f>
        <v>0</v>
      </c>
      <c r="ED608" s="354"/>
      <c r="EE608" s="354"/>
      <c r="EF608" s="353">
        <f>IF(ED608=0,0,(EE608-ED608)/ED608*100)</f>
        <v>0</v>
      </c>
      <c r="EG608" s="354"/>
      <c r="EH608" s="354"/>
      <c r="EI608" s="353">
        <f>IF(EG608=0,0,(EH608-EG608)/EG608*100)</f>
        <v>0</v>
      </c>
      <c r="EJ608" s="354"/>
      <c r="EK608" s="354"/>
      <c r="EL608" s="353">
        <f>IF(EJ608=0,0,(EK608-EJ608)/EJ608*100)</f>
        <v>0</v>
      </c>
      <c r="EM608" s="354"/>
      <c r="EN608" s="354"/>
      <c r="EO608" s="353">
        <f>IF(EM608=0,0,(EN608-EM608)/EM608*100)</f>
        <v>0</v>
      </c>
      <c r="EP608" s="354"/>
      <c r="EQ608" s="354"/>
      <c r="ER608" s="353">
        <f>IF(EP608=0,0,(EQ608-EP608)/EP608*100)</f>
        <v>0</v>
      </c>
      <c r="ES608" s="354"/>
      <c r="ET608" s="354"/>
      <c r="EU608" s="353">
        <f>IF(ES608=0,0,(ET608-ES608)/ES608*100)</f>
        <v>0</v>
      </c>
      <c r="EV608" s="354"/>
      <c r="EW608" s="354"/>
      <c r="EX608" s="353">
        <f>IF(EV608=0,0,(EW608-EV608)/EV608*100)</f>
        <v>0</v>
      </c>
      <c r="EY608" s="354"/>
      <c r="EZ608" s="354"/>
      <c r="FA608" s="353">
        <f>IF(EY608=0,0,(EZ608-EY608)/EY608*100)</f>
        <v>0</v>
      </c>
      <c r="FB608" s="354"/>
      <c r="FC608" s="354"/>
      <c r="FD608" s="353">
        <f>IF(FB608=0,0,(FC608-FB608)/FB608*100)</f>
        <v>0</v>
      </c>
      <c r="FE608" s="354"/>
      <c r="FF608" s="354"/>
      <c r="FG608" s="353">
        <f>IF(FE608=0,0,(FF608-FE608)/FE608*100)</f>
        <v>0</v>
      </c>
    </row>
    <row r="609" spans="1:163" s="509" customFormat="1" ht="15" customHeight="1" outlineLevel="1">
      <c r="A609" s="509" t="str">
        <f t="shared" si="127"/>
        <v>1</v>
      </c>
      <c r="G609" s="509" t="b">
        <f>F582="двухставочный"</f>
        <v>0</v>
      </c>
      <c r="L609" s="347" t="s">
        <v>1188</v>
      </c>
      <c r="M609" s="545"/>
      <c r="N609" s="546"/>
      <c r="O609" s="546"/>
      <c r="P609" s="546"/>
      <c r="Q609" s="546"/>
      <c r="R609" s="546"/>
      <c r="S609" s="546"/>
      <c r="T609" s="546"/>
      <c r="U609" s="546"/>
      <c r="V609" s="546"/>
      <c r="W609" s="546"/>
      <c r="X609" s="546"/>
      <c r="Y609" s="546"/>
      <c r="Z609" s="546"/>
      <c r="AA609" s="546"/>
      <c r="AB609" s="546"/>
      <c r="AC609" s="546"/>
      <c r="AD609" s="546"/>
      <c r="AE609" s="546"/>
      <c r="AF609" s="546"/>
      <c r="AG609" s="546"/>
      <c r="AH609" s="546"/>
      <c r="AI609" s="546"/>
      <c r="AJ609" s="546"/>
      <c r="AK609" s="546"/>
      <c r="AL609" s="546"/>
      <c r="AM609" s="546"/>
      <c r="AN609" s="546"/>
      <c r="AO609" s="546"/>
      <c r="AP609" s="546"/>
      <c r="AQ609" s="546"/>
      <c r="AR609" s="546"/>
      <c r="AS609" s="546"/>
      <c r="AT609" s="546"/>
      <c r="AU609" s="546"/>
      <c r="AV609" s="546"/>
      <c r="AW609" s="546"/>
      <c r="AX609" s="546"/>
      <c r="AY609" s="546"/>
      <c r="AZ609" s="546"/>
      <c r="BA609" s="546"/>
      <c r="BB609" s="546"/>
      <c r="BC609" s="546"/>
      <c r="BD609" s="546"/>
      <c r="BE609" s="546"/>
      <c r="BF609" s="546"/>
      <c r="BG609" s="546"/>
      <c r="BH609" s="546"/>
      <c r="BI609" s="546"/>
      <c r="BJ609" s="546"/>
      <c r="BK609" s="546"/>
      <c r="BL609" s="546"/>
      <c r="BM609" s="546"/>
      <c r="BN609" s="546"/>
      <c r="BO609" s="546"/>
      <c r="BP609" s="546"/>
      <c r="BQ609" s="546"/>
      <c r="BR609" s="546"/>
      <c r="BS609" s="546"/>
      <c r="BT609" s="546"/>
      <c r="BU609" s="546"/>
      <c r="BV609" s="546"/>
      <c r="BW609" s="546"/>
      <c r="BX609" s="546"/>
      <c r="BY609" s="546"/>
      <c r="BZ609" s="546"/>
      <c r="CA609" s="546"/>
      <c r="CB609" s="546"/>
      <c r="CC609" s="546"/>
      <c r="CD609" s="546"/>
      <c r="CE609" s="546"/>
      <c r="CF609" s="546"/>
      <c r="CG609" s="546"/>
      <c r="CH609" s="546"/>
      <c r="CI609" s="546"/>
      <c r="CJ609" s="546"/>
      <c r="CK609" s="546"/>
      <c r="CL609" s="546"/>
      <c r="CM609" s="546"/>
      <c r="CN609" s="546"/>
      <c r="CO609" s="546"/>
      <c r="CP609" s="546"/>
      <c r="CQ609" s="546"/>
      <c r="CR609" s="546"/>
      <c r="CS609" s="546"/>
      <c r="CT609" s="546"/>
      <c r="CU609" s="546"/>
      <c r="CV609" s="546"/>
      <c r="CW609" s="546"/>
      <c r="CX609" s="546"/>
      <c r="CY609" s="546"/>
      <c r="CZ609" s="546"/>
      <c r="DA609" s="546"/>
      <c r="DB609" s="546"/>
      <c r="DC609" s="546"/>
      <c r="DD609" s="546"/>
      <c r="DE609" s="546"/>
      <c r="DF609" s="546"/>
      <c r="DG609" s="546"/>
      <c r="DH609" s="546"/>
      <c r="DI609" s="546"/>
      <c r="DJ609" s="546"/>
      <c r="DK609" s="546"/>
      <c r="DL609" s="546"/>
      <c r="DM609" s="546"/>
      <c r="DN609" s="546"/>
      <c r="DO609" s="546"/>
      <c r="DP609" s="546"/>
      <c r="DQ609" s="546"/>
      <c r="DR609" s="546"/>
      <c r="DS609" s="546"/>
      <c r="DT609" s="546"/>
      <c r="DU609" s="546"/>
      <c r="DV609" s="546"/>
      <c r="DW609" s="546"/>
      <c r="DX609" s="546"/>
      <c r="DY609" s="546"/>
      <c r="DZ609" s="546"/>
      <c r="EA609" s="546"/>
      <c r="EB609" s="546"/>
      <c r="EC609" s="546"/>
      <c r="ED609" s="546"/>
      <c r="EE609" s="546"/>
      <c r="EF609" s="546"/>
      <c r="EG609" s="546"/>
      <c r="EH609" s="546"/>
      <c r="EI609" s="546"/>
      <c r="EJ609" s="546"/>
      <c r="EK609" s="546"/>
      <c r="EL609" s="546"/>
      <c r="EM609" s="546"/>
      <c r="EN609" s="546"/>
      <c r="EO609" s="546"/>
      <c r="EP609" s="546"/>
      <c r="EQ609" s="546"/>
      <c r="ER609" s="546"/>
      <c r="ES609" s="546"/>
      <c r="ET609" s="546"/>
      <c r="EU609" s="546"/>
      <c r="EV609" s="546"/>
      <c r="EW609" s="546"/>
      <c r="EX609" s="546"/>
      <c r="EY609" s="546"/>
      <c r="EZ609" s="546"/>
      <c r="FA609" s="546"/>
      <c r="FB609" s="546"/>
      <c r="FC609" s="546"/>
      <c r="FD609" s="546"/>
      <c r="FE609" s="546"/>
      <c r="FF609" s="546"/>
      <c r="FG609" s="547"/>
    </row>
    <row r="610" spans="1:163" s="509" customFormat="1" ht="15" customHeight="1" outlineLevel="1">
      <c r="A610" s="509" t="str">
        <f t="shared" si="127"/>
        <v>1</v>
      </c>
      <c r="C610" s="509" t="s">
        <v>1440</v>
      </c>
      <c r="D610" s="509" t="s">
        <v>1606</v>
      </c>
      <c r="G610" s="509" t="b">
        <f>F582="двухставочный"</f>
        <v>0</v>
      </c>
      <c r="L610" s="356" t="s">
        <v>668</v>
      </c>
      <c r="M610" s="499" t="s">
        <v>655</v>
      </c>
      <c r="N610" s="354" t="e">
        <f>IF(N612=0,0,(N611*N612+N613*N614*6)/N612)</f>
        <v>#N/A</v>
      </c>
      <c r="O610" s="354" t="e">
        <f>IF(O612=0,0,(O611*O612+O613*O614*6)/O612)</f>
        <v>#N/A</v>
      </c>
      <c r="P610" s="353" t="e">
        <f>IF(N610=0,0,(O610-N610)/N610*100)</f>
        <v>#N/A</v>
      </c>
      <c r="Q610" s="354" t="e">
        <f>IF(Q612=0,0,(Q611*Q612+Q613*Q614*6)/Q612)</f>
        <v>#N/A</v>
      </c>
      <c r="R610" s="354" t="e">
        <f>IF(R612=0,0,(R611*R612+R613*R614*6)/R612)</f>
        <v>#N/A</v>
      </c>
      <c r="S610" s="353" t="e">
        <f>IF(Q610=0,0,(R610-Q610)/Q610*100)</f>
        <v>#N/A</v>
      </c>
      <c r="T610" s="354" t="e">
        <f>IF(T612=0,0,(T611*T612+T613*T614*6)/T612)</f>
        <v>#N/A</v>
      </c>
      <c r="U610" s="354" t="e">
        <f>IF(U612=0,0,(U611*U612+U613*U614*6)/U612)</f>
        <v>#N/A</v>
      </c>
      <c r="V610" s="353" t="e">
        <f>IF(T610=0,0,(U610-T610)/T610*100)</f>
        <v>#N/A</v>
      </c>
      <c r="W610" s="354" t="e">
        <f>IF(W612=0,0,(W611*W612+W613*W614*6)/W612)</f>
        <v>#N/A</v>
      </c>
      <c r="X610" s="354" t="e">
        <f>IF(X612=0,0,(X611*X612+X613*X614*6)/X612)</f>
        <v>#N/A</v>
      </c>
      <c r="Y610" s="353" t="e">
        <f>IF(W610=0,0,(X610-W610)/W610*100)</f>
        <v>#N/A</v>
      </c>
      <c r="Z610" s="354" t="e">
        <f>IF(Z612=0,0,(Z611*Z612+Z613*Z614*6)/Z612)</f>
        <v>#N/A</v>
      </c>
      <c r="AA610" s="354" t="e">
        <f>IF(AA612=0,0,(AA611*AA612+AA613*AA614*6)/AA612)</f>
        <v>#N/A</v>
      </c>
      <c r="AB610" s="353" t="e">
        <f>IF(Z610=0,0,(AA610-Z610)/Z610*100)</f>
        <v>#N/A</v>
      </c>
      <c r="AC610" s="354" t="e">
        <f>IF(AC612=0,0,(AC611*AC612+AC613*AC614*6)/AC612)</f>
        <v>#N/A</v>
      </c>
      <c r="AD610" s="354" t="e">
        <f>IF(AD612=0,0,(AD611*AD612+AD613*AD614*6)/AD612)</f>
        <v>#N/A</v>
      </c>
      <c r="AE610" s="353" t="e">
        <f>IF(AC610=0,0,(AD610-AC610)/AC610*100)</f>
        <v>#N/A</v>
      </c>
      <c r="AF610" s="354" t="e">
        <f>IF(AF612=0,0,(AF611*AF612+AF613*AF614*6)/AF612)</f>
        <v>#N/A</v>
      </c>
      <c r="AG610" s="354" t="e">
        <f>IF(AG612=0,0,(AG611*AG612+AG613*AG614*6)/AG612)</f>
        <v>#N/A</v>
      </c>
      <c r="AH610" s="353" t="e">
        <f>IF(AF610=0,0,(AG610-AF610)/AF610*100)</f>
        <v>#N/A</v>
      </c>
      <c r="AI610" s="354" t="e">
        <f>IF(AI612=0,0,(AI611*AI612+AI613*AI614*6)/AI612)</f>
        <v>#N/A</v>
      </c>
      <c r="AJ610" s="354" t="e">
        <f>IF(AJ612=0,0,(AJ611*AJ612+AJ613*AJ614*6)/AJ612)</f>
        <v>#N/A</v>
      </c>
      <c r="AK610" s="353" t="e">
        <f>IF(AI610=0,0,(AJ610-AI610)/AI610*100)</f>
        <v>#N/A</v>
      </c>
      <c r="AL610" s="354" t="e">
        <f>IF(AL612=0,0,(AL611*AL612+AL613*AL614*6)/AL612)</f>
        <v>#N/A</v>
      </c>
      <c r="AM610" s="354" t="e">
        <f>IF(AM612=0,0,(AM611*AM612+AM613*AM614*6)/AM612)</f>
        <v>#N/A</v>
      </c>
      <c r="AN610" s="353" t="e">
        <f>IF(AL610=0,0,(AM610-AL610)/AL610*100)</f>
        <v>#N/A</v>
      </c>
      <c r="AO610" s="354" t="e">
        <f>IF(AO612=0,0,(AO611*AO612+AO613*AO614*6)/AO612)</f>
        <v>#N/A</v>
      </c>
      <c r="AP610" s="354" t="e">
        <f>IF(AP612=0,0,(AP611*AP612+AP613*AP614*6)/AP612)</f>
        <v>#N/A</v>
      </c>
      <c r="AQ610" s="353" t="e">
        <f>IF(AO610=0,0,(AP610-AO610)/AO610*100)</f>
        <v>#N/A</v>
      </c>
      <c r="AR610" s="354">
        <f>IF(AR612=0,0,(AR611*AR612+AR613*AR614*6)/AR612)</f>
        <v>0</v>
      </c>
      <c r="AS610" s="354">
        <f>IF(AS612=0,0,(AS611*AS612+AS613*AS614*6)/AS612)</f>
        <v>0</v>
      </c>
      <c r="AT610" s="353">
        <f>IF(AR610=0,0,(AS610-AR610)/AR610*100)</f>
        <v>0</v>
      </c>
      <c r="AU610" s="354">
        <f>IF(AU612=0,0,(AU611*AU612+AU613*AU614*6)/AU612)</f>
        <v>0</v>
      </c>
      <c r="AV610" s="354">
        <f>IF(AV612=0,0,(AV611*AV612+AV613*AV614*6)/AV612)</f>
        <v>0</v>
      </c>
      <c r="AW610" s="353">
        <f>IF(AU610=0,0,(AV610-AU610)/AU610*100)</f>
        <v>0</v>
      </c>
      <c r="AX610" s="354">
        <f>IF(AX612=0,0,(AX611*AX612+AX613*AX614*6)/AX612)</f>
        <v>0</v>
      </c>
      <c r="AY610" s="354">
        <f>IF(AY612=0,0,(AY611*AY612+AY613*AY614*6)/AY612)</f>
        <v>0</v>
      </c>
      <c r="AZ610" s="353">
        <f>IF(AX610=0,0,(AY610-AX610)/AX610*100)</f>
        <v>0</v>
      </c>
      <c r="BA610" s="354">
        <f>IF(BA612=0,0,(BA611*BA612+BA613*BA614*6)/BA612)</f>
        <v>0</v>
      </c>
      <c r="BB610" s="354">
        <f>IF(BB612=0,0,(BB611*BB612+BB613*BB614*6)/BB612)</f>
        <v>0</v>
      </c>
      <c r="BC610" s="353">
        <f>IF(BA610=0,0,(BB610-BA610)/BA610*100)</f>
        <v>0</v>
      </c>
      <c r="BD610" s="354">
        <f>IF(BD612=0,0,(BD611*BD612+BD613*BD614*6)/BD612)</f>
        <v>0</v>
      </c>
      <c r="BE610" s="354">
        <f>IF(BE612=0,0,(BE611*BE612+BE613*BE614*6)/BE612)</f>
        <v>0</v>
      </c>
      <c r="BF610" s="353">
        <f>IF(BD610=0,0,(BE610-BD610)/BD610*100)</f>
        <v>0</v>
      </c>
      <c r="BG610" s="354">
        <f>IF(BG612=0,0,(BG611*BG612+BG613*BG614*6)/BG612)</f>
        <v>0</v>
      </c>
      <c r="BH610" s="354">
        <f>IF(BH612=0,0,(BH611*BH612+BH613*BH614*6)/BH612)</f>
        <v>0</v>
      </c>
      <c r="BI610" s="353">
        <f>IF(BG610=0,0,(BH610-BG610)/BG610*100)</f>
        <v>0</v>
      </c>
      <c r="BJ610" s="354">
        <f>IF(BJ612=0,0,(BJ611*BJ612+BJ613*BJ614*6)/BJ612)</f>
        <v>0</v>
      </c>
      <c r="BK610" s="354">
        <f>IF(BK612=0,0,(BK611*BK612+BK613*BK614*6)/BK612)</f>
        <v>0</v>
      </c>
      <c r="BL610" s="353">
        <f>IF(BJ610=0,0,(BK610-BJ610)/BJ610*100)</f>
        <v>0</v>
      </c>
      <c r="BM610" s="354">
        <f>IF(BM612=0,0,(BM611*BM612+BM613*BM614*6)/BM612)</f>
        <v>0</v>
      </c>
      <c r="BN610" s="354">
        <f>IF(BN612=0,0,(BN611*BN612+BN613*BN614*6)/BN612)</f>
        <v>0</v>
      </c>
      <c r="BO610" s="353">
        <f>IF(BM610=0,0,(BN610-BM610)/BM610*100)</f>
        <v>0</v>
      </c>
      <c r="BP610" s="354">
        <f>IF(BP612=0,0,(BP611*BP612+BP613*BP614*6)/BP612)</f>
        <v>0</v>
      </c>
      <c r="BQ610" s="354">
        <f>IF(BQ612=0,0,(BQ611*BQ612+BQ613*BQ614*6)/BQ612)</f>
        <v>0</v>
      </c>
      <c r="BR610" s="353">
        <f>IF(BP610=0,0,(BQ610-BP610)/BP610*100)</f>
        <v>0</v>
      </c>
      <c r="BS610" s="354">
        <f>IF(BS612=0,0,(BS611*BS612+BS613*BS614*6)/BS612)</f>
        <v>0</v>
      </c>
      <c r="BT610" s="354">
        <f>IF(BT612=0,0,(BT611*BT612+BT613*BT614*6)/BT612)</f>
        <v>0</v>
      </c>
      <c r="BU610" s="353">
        <f>IF(BS610=0,0,(BT610-BS610)/BS610*100)</f>
        <v>0</v>
      </c>
      <c r="BV610" s="354">
        <f>IF(BV612=0,0,(BV611*BV612+BV613*BV614*6)/BV612)</f>
        <v>0</v>
      </c>
      <c r="BW610" s="354">
        <f>IF(BW612=0,0,(BW611*BW612+BW613*BW614*6)/BW612)</f>
        <v>0</v>
      </c>
      <c r="BX610" s="353">
        <f>IF(BV610=0,0,(BW610-BV610)/BV610*100)</f>
        <v>0</v>
      </c>
      <c r="BY610" s="354">
        <f>IF(BY612=0,0,(BY611*BY612+BY613*BY614*6)/BY612)</f>
        <v>0</v>
      </c>
      <c r="BZ610" s="354">
        <f>IF(BZ612=0,0,(BZ611*BZ612+BZ613*BZ614*6)/BZ612)</f>
        <v>0</v>
      </c>
      <c r="CA610" s="353">
        <f>IF(BY610=0,0,(BZ610-BY610)/BY610*100)</f>
        <v>0</v>
      </c>
      <c r="CB610" s="354">
        <f>IF(CB612=0,0,(CB611*CB612+CB613*CB614*6)/CB612)</f>
        <v>0</v>
      </c>
      <c r="CC610" s="354">
        <f>IF(CC612=0,0,(CC611*CC612+CC613*CC614*6)/CC612)</f>
        <v>0</v>
      </c>
      <c r="CD610" s="353">
        <f>IF(CB610=0,0,(CC610-CB610)/CB610*100)</f>
        <v>0</v>
      </c>
      <c r="CE610" s="354">
        <f>IF(CE612=0,0,(CE611*CE612+CE613*CE614*6)/CE612)</f>
        <v>0</v>
      </c>
      <c r="CF610" s="354">
        <f>IF(CF612=0,0,(CF611*CF612+CF613*CF614*6)/CF612)</f>
        <v>0</v>
      </c>
      <c r="CG610" s="353">
        <f>IF(CE610=0,0,(CF610-CE610)/CE610*100)</f>
        <v>0</v>
      </c>
      <c r="CH610" s="354">
        <f>IF(CH612=0,0,(CH611*CH612+CH613*CH614*6)/CH612)</f>
        <v>0</v>
      </c>
      <c r="CI610" s="354">
        <f>IF(CI612=0,0,(CI611*CI612+CI613*CI614*6)/CI612)</f>
        <v>0</v>
      </c>
      <c r="CJ610" s="353">
        <f>IF(CH610=0,0,(CI610-CH610)/CH610*100)</f>
        <v>0</v>
      </c>
      <c r="CK610" s="354">
        <f>IF(CK612=0,0,(CK611*CK612+CK613*CK614*6)/CK612)</f>
        <v>0</v>
      </c>
      <c r="CL610" s="354">
        <f>IF(CL612=0,0,(CL611*CL612+CL613*CL614*6)/CL612)</f>
        <v>0</v>
      </c>
      <c r="CM610" s="353">
        <f>IF(CK610=0,0,(CL610-CK610)/CK610*100)</f>
        <v>0</v>
      </c>
      <c r="CN610" s="354">
        <f>IF(CN612=0,0,(CN611*CN612+CN613*CN614*6)/CN612)</f>
        <v>0</v>
      </c>
      <c r="CO610" s="354">
        <f>IF(CO612=0,0,(CO611*CO612+CO613*CO614*6)/CO612)</f>
        <v>0</v>
      </c>
      <c r="CP610" s="353">
        <f>IF(CN610=0,0,(CO610-CN610)/CN610*100)</f>
        <v>0</v>
      </c>
      <c r="CQ610" s="354">
        <f>IF(CQ612=0,0,(CQ611*CQ612+CQ613*CQ614*6)/CQ612)</f>
        <v>0</v>
      </c>
      <c r="CR610" s="354">
        <f>IF(CR612=0,0,(CR611*CR612+CR613*CR614*6)/CR612)</f>
        <v>0</v>
      </c>
      <c r="CS610" s="353">
        <f>IF(CQ610=0,0,(CR610-CQ610)/CQ610*100)</f>
        <v>0</v>
      </c>
      <c r="CT610" s="354">
        <f>IF(CT612=0,0,(CT611*CT612+CT613*CT614*6)/CT612)</f>
        <v>0</v>
      </c>
      <c r="CU610" s="354">
        <f>IF(CU612=0,0,(CU611*CU612+CU613*CU614*6)/CU612)</f>
        <v>0</v>
      </c>
      <c r="CV610" s="353">
        <f>IF(CT610=0,0,(CU610-CT610)/CT610*100)</f>
        <v>0</v>
      </c>
      <c r="CW610" s="354">
        <f>IF(CW612=0,0,(CW611*CW612+CW613*CW614*6)/CW612)</f>
        <v>0</v>
      </c>
      <c r="CX610" s="354">
        <f>IF(CX612=0,0,(CX611*CX612+CX613*CX614*6)/CX612)</f>
        <v>0</v>
      </c>
      <c r="CY610" s="353">
        <f>IF(CW610=0,0,(CX610-CW610)/CW610*100)</f>
        <v>0</v>
      </c>
      <c r="CZ610" s="354">
        <f>IF(CZ612=0,0,(CZ611*CZ612+CZ613*CZ614*6)/CZ612)</f>
        <v>0</v>
      </c>
      <c r="DA610" s="354">
        <f>IF(DA612=0,0,(DA611*DA612+DA613*DA614*6)/DA612)</f>
        <v>0</v>
      </c>
      <c r="DB610" s="353">
        <f>IF(CZ610=0,0,(DA610-CZ610)/CZ610*100)</f>
        <v>0</v>
      </c>
      <c r="DC610" s="354">
        <f>IF(DC612=0,0,(DC611*DC612+DC613*DC614*6)/DC612)</f>
        <v>0</v>
      </c>
      <c r="DD610" s="354">
        <f>IF(DD612=0,0,(DD611*DD612+DD613*DD614*6)/DD612)</f>
        <v>0</v>
      </c>
      <c r="DE610" s="353">
        <f>IF(DC610=0,0,(DD610-DC610)/DC610*100)</f>
        <v>0</v>
      </c>
      <c r="DF610" s="354">
        <f>IF(DF612=0,0,(DF611*DF612+DF613*DF614*6)/DF612)</f>
        <v>0</v>
      </c>
      <c r="DG610" s="354">
        <f>IF(DG612=0,0,(DG611*DG612+DG613*DG614*6)/DG612)</f>
        <v>0</v>
      </c>
      <c r="DH610" s="353">
        <f>IF(DF610=0,0,(DG610-DF610)/DF610*100)</f>
        <v>0</v>
      </c>
      <c r="DI610" s="354">
        <f>IF(DI612=0,0,(DI611*DI612+DI613*DI614*6)/DI612)</f>
        <v>0</v>
      </c>
      <c r="DJ610" s="354">
        <f>IF(DJ612=0,0,(DJ611*DJ612+DJ613*DJ614*6)/DJ612)</f>
        <v>0</v>
      </c>
      <c r="DK610" s="353">
        <f>IF(DI610=0,0,(DJ610-DI610)/DI610*100)</f>
        <v>0</v>
      </c>
      <c r="DL610" s="354">
        <f>IF(DL612=0,0,(DL611*DL612+DL613*DL614*6)/DL612)</f>
        <v>0</v>
      </c>
      <c r="DM610" s="354">
        <f>IF(DM612=0,0,(DM611*DM612+DM613*DM614*6)/DM612)</f>
        <v>0</v>
      </c>
      <c r="DN610" s="353">
        <f>IF(DL610=0,0,(DM610-DL610)/DL610*100)</f>
        <v>0</v>
      </c>
      <c r="DO610" s="354">
        <f>IF(DO612=0,0,(DO611*DO612+DO613*DO614*6)/DO612)</f>
        <v>0</v>
      </c>
      <c r="DP610" s="354">
        <f>IF(DP612=0,0,(DP611*DP612+DP613*DP614*6)/DP612)</f>
        <v>0</v>
      </c>
      <c r="DQ610" s="353">
        <f>IF(DO610=0,0,(DP610-DO610)/DO610*100)</f>
        <v>0</v>
      </c>
      <c r="DR610" s="354">
        <f>IF(DR612=0,0,(DR611*DR612+DR613*DR614*6)/DR612)</f>
        <v>0</v>
      </c>
      <c r="DS610" s="354">
        <f>IF(DS612=0,0,(DS611*DS612+DS613*DS614*6)/DS612)</f>
        <v>0</v>
      </c>
      <c r="DT610" s="353">
        <f>IF(DR610=0,0,(DS610-DR610)/DR610*100)</f>
        <v>0</v>
      </c>
      <c r="DU610" s="354">
        <f>IF(DU612=0,0,(DU611*DU612+DU613*DU614*6)/DU612)</f>
        <v>0</v>
      </c>
      <c r="DV610" s="354">
        <f>IF(DV612=0,0,(DV611*DV612+DV613*DV614*6)/DV612)</f>
        <v>0</v>
      </c>
      <c r="DW610" s="353">
        <f>IF(DU610=0,0,(DV610-DU610)/DU610*100)</f>
        <v>0</v>
      </c>
      <c r="DX610" s="354">
        <f>IF(DX612=0,0,(DX611*DX612+DX613*DX614*6)/DX612)</f>
        <v>0</v>
      </c>
      <c r="DY610" s="354">
        <f>IF(DY612=0,0,(DY611*DY612+DY613*DY614*6)/DY612)</f>
        <v>0</v>
      </c>
      <c r="DZ610" s="353">
        <f>IF(DX610=0,0,(DY610-DX610)/DX610*100)</f>
        <v>0</v>
      </c>
      <c r="EA610" s="354">
        <f>IF(EA612=0,0,(EA611*EA612+EA613*EA614*6)/EA612)</f>
        <v>0</v>
      </c>
      <c r="EB610" s="354">
        <f>IF(EB612=0,0,(EB611*EB612+EB613*EB614*6)/EB612)</f>
        <v>0</v>
      </c>
      <c r="EC610" s="353">
        <f>IF(EA610=0,0,(EB610-EA610)/EA610*100)</f>
        <v>0</v>
      </c>
      <c r="ED610" s="354">
        <f>IF(ED612=0,0,(ED611*ED612+ED613*ED614*6)/ED612)</f>
        <v>0</v>
      </c>
      <c r="EE610" s="354">
        <f>IF(EE612=0,0,(EE611*EE612+EE613*EE614*6)/EE612)</f>
        <v>0</v>
      </c>
      <c r="EF610" s="353">
        <f>IF(ED610=0,0,(EE610-ED610)/ED610*100)</f>
        <v>0</v>
      </c>
      <c r="EG610" s="354">
        <f>IF(EG612=0,0,(EG611*EG612+EG613*EG614*6)/EG612)</f>
        <v>0</v>
      </c>
      <c r="EH610" s="354">
        <f>IF(EH612=0,0,(EH611*EH612+EH613*EH614*6)/EH612)</f>
        <v>0</v>
      </c>
      <c r="EI610" s="353">
        <f>IF(EG610=0,0,(EH610-EG610)/EG610*100)</f>
        <v>0</v>
      </c>
      <c r="EJ610" s="354">
        <f>IF(EJ612=0,0,(EJ611*EJ612+EJ613*EJ614*6)/EJ612)</f>
        <v>0</v>
      </c>
      <c r="EK610" s="354">
        <f>IF(EK612=0,0,(EK611*EK612+EK613*EK614*6)/EK612)</f>
        <v>0</v>
      </c>
      <c r="EL610" s="353">
        <f>IF(EJ610=0,0,(EK610-EJ610)/EJ610*100)</f>
        <v>0</v>
      </c>
      <c r="EM610" s="354">
        <f>IF(EM612=0,0,(EM611*EM612+EM613*EM614*6)/EM612)</f>
        <v>0</v>
      </c>
      <c r="EN610" s="354">
        <f>IF(EN612=0,0,(EN611*EN612+EN613*EN614*6)/EN612)</f>
        <v>0</v>
      </c>
      <c r="EO610" s="353">
        <f>IF(EM610=0,0,(EN610-EM610)/EM610*100)</f>
        <v>0</v>
      </c>
      <c r="EP610" s="354">
        <f>IF(EP612=0,0,(EP611*EP612+EP613*EP614*6)/EP612)</f>
        <v>0</v>
      </c>
      <c r="EQ610" s="354">
        <f>IF(EQ612=0,0,(EQ611*EQ612+EQ613*EQ614*6)/EQ612)</f>
        <v>0</v>
      </c>
      <c r="ER610" s="353">
        <f>IF(EP610=0,0,(EQ610-EP610)/EP610*100)</f>
        <v>0</v>
      </c>
      <c r="ES610" s="354">
        <f>IF(ES612=0,0,(ES611*ES612+ES613*ES614*6)/ES612)</f>
        <v>0</v>
      </c>
      <c r="ET610" s="354">
        <f>IF(ET612=0,0,(ET611*ET612+ET613*ET614*6)/ET612)</f>
        <v>0</v>
      </c>
      <c r="EU610" s="353">
        <f>IF(ES610=0,0,(ET610-ES610)/ES610*100)</f>
        <v>0</v>
      </c>
      <c r="EV610" s="354">
        <f>IF(EV612=0,0,(EV611*EV612+EV613*EV614*6)/EV612)</f>
        <v>0</v>
      </c>
      <c r="EW610" s="354">
        <f>IF(EW612=0,0,(EW611*EW612+EW613*EW614*6)/EW612)</f>
        <v>0</v>
      </c>
      <c r="EX610" s="353">
        <f>IF(EV610=0,0,(EW610-EV610)/EV610*100)</f>
        <v>0</v>
      </c>
      <c r="EY610" s="354">
        <f>IF(EY612=0,0,(EY611*EY612+EY613*EY614*6)/EY612)</f>
        <v>0</v>
      </c>
      <c r="EZ610" s="354">
        <f>IF(EZ612=0,0,(EZ611*EZ612+EZ613*EZ614*6)/EZ612)</f>
        <v>0</v>
      </c>
      <c r="FA610" s="353">
        <f>IF(EY610=0,0,(EZ610-EY610)/EY610*100)</f>
        <v>0</v>
      </c>
      <c r="FB610" s="354">
        <f>IF(FB612=0,0,(FB611*FB612+FB613*FB614*6)/FB612)</f>
        <v>0</v>
      </c>
      <c r="FC610" s="354">
        <f>IF(FC612=0,0,(FC611*FC612+FC613*FC614*6)/FC612)</f>
        <v>0</v>
      </c>
      <c r="FD610" s="353">
        <f>IF(FB610=0,0,(FC610-FB610)/FB610*100)</f>
        <v>0</v>
      </c>
      <c r="FE610" s="354">
        <f>IF(FE612=0,0,(FE611*FE612+FE613*FE614*6)/FE612)</f>
        <v>0</v>
      </c>
      <c r="FF610" s="354">
        <f>IF(FF612=0,0,(FF611*FF612+FF613*FF614*6)/FF612)</f>
        <v>0</v>
      </c>
      <c r="FG610" s="353">
        <f>IF(FE610=0,0,(FF610-FE610)/FE610*100)</f>
        <v>0</v>
      </c>
    </row>
    <row r="611" spans="1:163" s="509" customFormat="1" ht="15" customHeight="1" outlineLevel="1">
      <c r="A611" s="509" t="str">
        <f t="shared" si="127"/>
        <v>1</v>
      </c>
      <c r="C611" s="509" t="s">
        <v>1441</v>
      </c>
      <c r="D611" s="509" t="s">
        <v>1606</v>
      </c>
      <c r="G611" s="509" t="b">
        <f>F582="двухставочный"</f>
        <v>0</v>
      </c>
      <c r="L611" s="356" t="s">
        <v>669</v>
      </c>
      <c r="M611" s="499" t="s">
        <v>655</v>
      </c>
      <c r="N611" s="354"/>
      <c r="O611" s="354"/>
      <c r="P611" s="353">
        <f>IF(N611=0,0,(O611-N611)/N611*100)</f>
        <v>0</v>
      </c>
      <c r="Q611" s="354"/>
      <c r="R611" s="354"/>
      <c r="S611" s="353">
        <f>IF(Q611=0,0,(R611-Q611)/Q611*100)</f>
        <v>0</v>
      </c>
      <c r="T611" s="354"/>
      <c r="U611" s="354"/>
      <c r="V611" s="353">
        <f>IF(T611=0,0,(U611-T611)/T611*100)</f>
        <v>0</v>
      </c>
      <c r="W611" s="354"/>
      <c r="X611" s="354"/>
      <c r="Y611" s="353">
        <f>IF(W611=0,0,(X611-W611)/W611*100)</f>
        <v>0</v>
      </c>
      <c r="Z611" s="354"/>
      <c r="AA611" s="354"/>
      <c r="AB611" s="353">
        <f>IF(Z611=0,0,(AA611-Z611)/Z611*100)</f>
        <v>0</v>
      </c>
      <c r="AC611" s="354"/>
      <c r="AD611" s="354"/>
      <c r="AE611" s="353">
        <f>IF(AC611=0,0,(AD611-AC611)/AC611*100)</f>
        <v>0</v>
      </c>
      <c r="AF611" s="354"/>
      <c r="AG611" s="354"/>
      <c r="AH611" s="353">
        <f>IF(AF611=0,0,(AG611-AF611)/AF611*100)</f>
        <v>0</v>
      </c>
      <c r="AI611" s="354"/>
      <c r="AJ611" s="354"/>
      <c r="AK611" s="353">
        <f>IF(AI611=0,0,(AJ611-AI611)/AI611*100)</f>
        <v>0</v>
      </c>
      <c r="AL611" s="354"/>
      <c r="AM611" s="354"/>
      <c r="AN611" s="353">
        <f>IF(AL611=0,0,(AM611-AL611)/AL611*100)</f>
        <v>0</v>
      </c>
      <c r="AO611" s="354"/>
      <c r="AP611" s="354"/>
      <c r="AQ611" s="353">
        <f>IF(AO611=0,0,(AP611-AO611)/AO611*100)</f>
        <v>0</v>
      </c>
      <c r="AR611" s="354"/>
      <c r="AS611" s="354"/>
      <c r="AT611" s="353">
        <f>IF(AR611=0,0,(AS611-AR611)/AR611*100)</f>
        <v>0</v>
      </c>
      <c r="AU611" s="354"/>
      <c r="AV611" s="354"/>
      <c r="AW611" s="353">
        <f>IF(AU611=0,0,(AV611-AU611)/AU611*100)</f>
        <v>0</v>
      </c>
      <c r="AX611" s="354"/>
      <c r="AY611" s="354"/>
      <c r="AZ611" s="353">
        <f>IF(AX611=0,0,(AY611-AX611)/AX611*100)</f>
        <v>0</v>
      </c>
      <c r="BA611" s="354"/>
      <c r="BB611" s="354"/>
      <c r="BC611" s="353">
        <f>IF(BA611=0,0,(BB611-BA611)/BA611*100)</f>
        <v>0</v>
      </c>
      <c r="BD611" s="354"/>
      <c r="BE611" s="354"/>
      <c r="BF611" s="353">
        <f>IF(BD611=0,0,(BE611-BD611)/BD611*100)</f>
        <v>0</v>
      </c>
      <c r="BG611" s="354"/>
      <c r="BH611" s="354"/>
      <c r="BI611" s="353">
        <f>IF(BG611=0,0,(BH611-BG611)/BG611*100)</f>
        <v>0</v>
      </c>
      <c r="BJ611" s="354"/>
      <c r="BK611" s="354"/>
      <c r="BL611" s="353">
        <f>IF(BJ611=0,0,(BK611-BJ611)/BJ611*100)</f>
        <v>0</v>
      </c>
      <c r="BM611" s="354"/>
      <c r="BN611" s="354"/>
      <c r="BO611" s="353">
        <f>IF(BM611=0,0,(BN611-BM611)/BM611*100)</f>
        <v>0</v>
      </c>
      <c r="BP611" s="354"/>
      <c r="BQ611" s="354"/>
      <c r="BR611" s="353">
        <f>IF(BP611=0,0,(BQ611-BP611)/BP611*100)</f>
        <v>0</v>
      </c>
      <c r="BS611" s="354"/>
      <c r="BT611" s="354"/>
      <c r="BU611" s="353">
        <f>IF(BS611=0,0,(BT611-BS611)/BS611*100)</f>
        <v>0</v>
      </c>
      <c r="BV611" s="354"/>
      <c r="BW611" s="354"/>
      <c r="BX611" s="353">
        <f>IF(BV611=0,0,(BW611-BV611)/BV611*100)</f>
        <v>0</v>
      </c>
      <c r="BY611" s="354"/>
      <c r="BZ611" s="354"/>
      <c r="CA611" s="353">
        <f>IF(BY611=0,0,(BZ611-BY611)/BY611*100)</f>
        <v>0</v>
      </c>
      <c r="CB611" s="354"/>
      <c r="CC611" s="354"/>
      <c r="CD611" s="353">
        <f>IF(CB611=0,0,(CC611-CB611)/CB611*100)</f>
        <v>0</v>
      </c>
      <c r="CE611" s="354"/>
      <c r="CF611" s="354"/>
      <c r="CG611" s="353">
        <f>IF(CE611=0,0,(CF611-CE611)/CE611*100)</f>
        <v>0</v>
      </c>
      <c r="CH611" s="354"/>
      <c r="CI611" s="354"/>
      <c r="CJ611" s="353">
        <f>IF(CH611=0,0,(CI611-CH611)/CH611*100)</f>
        <v>0</v>
      </c>
      <c r="CK611" s="354"/>
      <c r="CL611" s="354"/>
      <c r="CM611" s="353">
        <f>IF(CK611=0,0,(CL611-CK611)/CK611*100)</f>
        <v>0</v>
      </c>
      <c r="CN611" s="354"/>
      <c r="CO611" s="354"/>
      <c r="CP611" s="353">
        <f>IF(CN611=0,0,(CO611-CN611)/CN611*100)</f>
        <v>0</v>
      </c>
      <c r="CQ611" s="354"/>
      <c r="CR611" s="354"/>
      <c r="CS611" s="353">
        <f>IF(CQ611=0,0,(CR611-CQ611)/CQ611*100)</f>
        <v>0</v>
      </c>
      <c r="CT611" s="354"/>
      <c r="CU611" s="354"/>
      <c r="CV611" s="353">
        <f>IF(CT611=0,0,(CU611-CT611)/CT611*100)</f>
        <v>0</v>
      </c>
      <c r="CW611" s="354"/>
      <c r="CX611" s="354"/>
      <c r="CY611" s="353">
        <f>IF(CW611=0,0,(CX611-CW611)/CW611*100)</f>
        <v>0</v>
      </c>
      <c r="CZ611" s="354"/>
      <c r="DA611" s="354"/>
      <c r="DB611" s="353">
        <f>IF(CZ611=0,0,(DA611-CZ611)/CZ611*100)</f>
        <v>0</v>
      </c>
      <c r="DC611" s="354"/>
      <c r="DD611" s="354"/>
      <c r="DE611" s="353">
        <f>IF(DC611=0,0,(DD611-DC611)/DC611*100)</f>
        <v>0</v>
      </c>
      <c r="DF611" s="354"/>
      <c r="DG611" s="354"/>
      <c r="DH611" s="353">
        <f>IF(DF611=0,0,(DG611-DF611)/DF611*100)</f>
        <v>0</v>
      </c>
      <c r="DI611" s="354"/>
      <c r="DJ611" s="354"/>
      <c r="DK611" s="353">
        <f>IF(DI611=0,0,(DJ611-DI611)/DI611*100)</f>
        <v>0</v>
      </c>
      <c r="DL611" s="354"/>
      <c r="DM611" s="354"/>
      <c r="DN611" s="353">
        <f>IF(DL611=0,0,(DM611-DL611)/DL611*100)</f>
        <v>0</v>
      </c>
      <c r="DO611" s="354"/>
      <c r="DP611" s="354"/>
      <c r="DQ611" s="353">
        <f>IF(DO611=0,0,(DP611-DO611)/DO611*100)</f>
        <v>0</v>
      </c>
      <c r="DR611" s="354"/>
      <c r="DS611" s="354"/>
      <c r="DT611" s="353">
        <f>IF(DR611=0,0,(DS611-DR611)/DR611*100)</f>
        <v>0</v>
      </c>
      <c r="DU611" s="354"/>
      <c r="DV611" s="354"/>
      <c r="DW611" s="353">
        <f>IF(DU611=0,0,(DV611-DU611)/DU611*100)</f>
        <v>0</v>
      </c>
      <c r="DX611" s="354"/>
      <c r="DY611" s="354"/>
      <c r="DZ611" s="353">
        <f>IF(DX611=0,0,(DY611-DX611)/DX611*100)</f>
        <v>0</v>
      </c>
      <c r="EA611" s="354"/>
      <c r="EB611" s="354"/>
      <c r="EC611" s="353">
        <f>IF(EA611=0,0,(EB611-EA611)/EA611*100)</f>
        <v>0</v>
      </c>
      <c r="ED611" s="354"/>
      <c r="EE611" s="354"/>
      <c r="EF611" s="353">
        <f>IF(ED611=0,0,(EE611-ED611)/ED611*100)</f>
        <v>0</v>
      </c>
      <c r="EG611" s="354"/>
      <c r="EH611" s="354"/>
      <c r="EI611" s="353">
        <f>IF(EG611=0,0,(EH611-EG611)/EG611*100)</f>
        <v>0</v>
      </c>
      <c r="EJ611" s="354"/>
      <c r="EK611" s="354"/>
      <c r="EL611" s="353">
        <f>IF(EJ611=0,0,(EK611-EJ611)/EJ611*100)</f>
        <v>0</v>
      </c>
      <c r="EM611" s="354"/>
      <c r="EN611" s="354"/>
      <c r="EO611" s="353">
        <f>IF(EM611=0,0,(EN611-EM611)/EM611*100)</f>
        <v>0</v>
      </c>
      <c r="EP611" s="354"/>
      <c r="EQ611" s="354"/>
      <c r="ER611" s="353">
        <f>IF(EP611=0,0,(EQ611-EP611)/EP611*100)</f>
        <v>0</v>
      </c>
      <c r="ES611" s="354"/>
      <c r="ET611" s="354"/>
      <c r="EU611" s="353">
        <f>IF(ES611=0,0,(ET611-ES611)/ES611*100)</f>
        <v>0</v>
      </c>
      <c r="EV611" s="354"/>
      <c r="EW611" s="354"/>
      <c r="EX611" s="353">
        <f>IF(EV611=0,0,(EW611-EV611)/EV611*100)</f>
        <v>0</v>
      </c>
      <c r="EY611" s="354"/>
      <c r="EZ611" s="354"/>
      <c r="FA611" s="353">
        <f>IF(EY611=0,0,(EZ611-EY611)/EY611*100)</f>
        <v>0</v>
      </c>
      <c r="FB611" s="354"/>
      <c r="FC611" s="354"/>
      <c r="FD611" s="353">
        <f>IF(FB611=0,0,(FC611-FB611)/FB611*100)</f>
        <v>0</v>
      </c>
      <c r="FE611" s="354"/>
      <c r="FF611" s="354"/>
      <c r="FG611" s="353">
        <f>IF(FE611=0,0,(FF611-FE611)/FE611*100)</f>
        <v>0</v>
      </c>
    </row>
    <row r="612" spans="1:163" s="509" customFormat="1" ht="15" customHeight="1" outlineLevel="1">
      <c r="A612" s="509" t="str">
        <f t="shared" si="127"/>
        <v>1</v>
      </c>
      <c r="B612" s="104" t="s">
        <v>1182</v>
      </c>
      <c r="C612" s="509" t="s">
        <v>1568</v>
      </c>
      <c r="D612" s="509" t="s">
        <v>1606</v>
      </c>
      <c r="G612" s="509" t="b">
        <f>F582="двухставочный"</f>
        <v>0</v>
      </c>
      <c r="L612" s="356" t="s">
        <v>670</v>
      </c>
      <c r="M612" s="499" t="s">
        <v>311</v>
      </c>
      <c r="N612" s="493" t="e">
        <f>SUMIFS(INDEX(Калькуляция!$T$15:$AM$266,,MATCH(N$3,Калькуляция!$T$3:$AM$3,0)),Калькуляция!$A$15:$A$266,$A612,Калькуляция!$B$15:$B$266,$B612)</f>
        <v>#N/A</v>
      </c>
      <c r="O612" s="493" t="e">
        <f>SUMIFS(INDEX(Калькуляция!$T$15:$AM$266,,MATCH(O$3,Калькуляция!$T$3:$AM$3,0)),Калькуляция!$A$15:$A$266,$A612,Калькуляция!$B$15:$B$266,$B612)</f>
        <v>#N/A</v>
      </c>
      <c r="P612" s="501" t="e">
        <f>IF(N612=0,0,(O612-N612)/N612*100)</f>
        <v>#N/A</v>
      </c>
      <c r="Q612" s="493" t="e">
        <f>SUMIFS(INDEX(Калькуляция!$T$15:$AM$266,,MATCH(Q$3,Калькуляция!$T$3:$AM$3,0)),Калькуляция!$A$15:$A$266,$A612,Калькуляция!$B$15:$B$266,$B612)</f>
        <v>#N/A</v>
      </c>
      <c r="R612" s="493" t="e">
        <f>SUMIFS(INDEX(Калькуляция!$T$15:$AM$266,,MATCH(R$3,Калькуляция!$T$3:$AM$3,0)),Калькуляция!$A$15:$A$266,$A612,Калькуляция!$B$15:$B$266,$B612)</f>
        <v>#N/A</v>
      </c>
      <c r="S612" s="501" t="e">
        <f>IF(Q612=0,0,(R612-Q612)/Q612*100)</f>
        <v>#N/A</v>
      </c>
      <c r="T612" s="493" t="e">
        <f>SUMIFS(INDEX(Калькуляция!$T$15:$AM$266,,MATCH(T$3,Калькуляция!$T$3:$AM$3,0)),Калькуляция!$A$15:$A$266,$A612,Калькуляция!$B$15:$B$266,$B612)</f>
        <v>#N/A</v>
      </c>
      <c r="U612" s="493" t="e">
        <f>SUMIFS(INDEX(Калькуляция!$T$15:$AM$266,,MATCH(U$3,Калькуляция!$T$3:$AM$3,0)),Калькуляция!$A$15:$A$266,$A612,Калькуляция!$B$15:$B$266,$B612)</f>
        <v>#N/A</v>
      </c>
      <c r="V612" s="501" t="e">
        <f>IF(T612=0,0,(U612-T612)/T612*100)</f>
        <v>#N/A</v>
      </c>
      <c r="W612" s="493" t="e">
        <f>SUMIFS(INDEX(Калькуляция!$T$15:$AM$266,,MATCH(W$3,Калькуляция!$T$3:$AM$3,0)),Калькуляция!$A$15:$A$266,$A612,Калькуляция!$B$15:$B$266,$B612)</f>
        <v>#N/A</v>
      </c>
      <c r="X612" s="493" t="e">
        <f>SUMIFS(INDEX(Калькуляция!$T$15:$AM$266,,MATCH(X$3,Калькуляция!$T$3:$AM$3,0)),Калькуляция!$A$15:$A$266,$A612,Калькуляция!$B$15:$B$266,$B612)</f>
        <v>#N/A</v>
      </c>
      <c r="Y612" s="501" t="e">
        <f>IF(W612=0,0,(X612-W612)/W612*100)</f>
        <v>#N/A</v>
      </c>
      <c r="Z612" s="493" t="e">
        <f>SUMIFS(INDEX(Калькуляция!$T$15:$AM$266,,MATCH(Z$3,Калькуляция!$T$3:$AM$3,0)),Калькуляция!$A$15:$A$266,$A612,Калькуляция!$B$15:$B$266,$B612)</f>
        <v>#N/A</v>
      </c>
      <c r="AA612" s="493" t="e">
        <f>SUMIFS(INDEX(Калькуляция!$T$15:$AM$266,,MATCH(AA$3,Калькуляция!$T$3:$AM$3,0)),Калькуляция!$A$15:$A$266,$A612,Калькуляция!$B$15:$B$266,$B612)</f>
        <v>#N/A</v>
      </c>
      <c r="AB612" s="501" t="e">
        <f>IF(Z612=0,0,(AA612-Z612)/Z612*100)</f>
        <v>#N/A</v>
      </c>
      <c r="AC612" s="493" t="e">
        <f>SUMIFS(INDEX(Калькуляция!$T$15:$AM$266,,MATCH(AC$3,Калькуляция!$T$3:$AM$3,0)),Калькуляция!$A$15:$A$266,$A612,Калькуляция!$B$15:$B$266,$B612)</f>
        <v>#N/A</v>
      </c>
      <c r="AD612" s="493" t="e">
        <f>SUMIFS(INDEX(Калькуляция!$T$15:$AM$266,,MATCH(AD$3,Калькуляция!$T$3:$AM$3,0)),Калькуляция!$A$15:$A$266,$A612,Калькуляция!$B$15:$B$266,$B612)</f>
        <v>#N/A</v>
      </c>
      <c r="AE612" s="501" t="e">
        <f>IF(AC612=0,0,(AD612-AC612)/AC612*100)</f>
        <v>#N/A</v>
      </c>
      <c r="AF612" s="493" t="e">
        <f>SUMIFS(INDEX(Калькуляция!$T$15:$AM$266,,MATCH(AF$3,Калькуляция!$T$3:$AM$3,0)),Калькуляция!$A$15:$A$266,$A612,Калькуляция!$B$15:$B$266,$B612)</f>
        <v>#N/A</v>
      </c>
      <c r="AG612" s="493" t="e">
        <f>SUMIFS(INDEX(Калькуляция!$T$15:$AM$266,,MATCH(AG$3,Калькуляция!$T$3:$AM$3,0)),Калькуляция!$A$15:$A$266,$A612,Калькуляция!$B$15:$B$266,$B612)</f>
        <v>#N/A</v>
      </c>
      <c r="AH612" s="501" t="e">
        <f>IF(AF612=0,0,(AG612-AF612)/AF612*100)</f>
        <v>#N/A</v>
      </c>
      <c r="AI612" s="493" t="e">
        <f>SUMIFS(INDEX(Калькуляция!$T$15:$AM$266,,MATCH(AI$3,Калькуляция!$T$3:$AM$3,0)),Калькуляция!$A$15:$A$266,$A612,Калькуляция!$B$15:$B$266,$B612)</f>
        <v>#N/A</v>
      </c>
      <c r="AJ612" s="493" t="e">
        <f>SUMIFS(INDEX(Калькуляция!$T$15:$AM$266,,MATCH(AJ$3,Калькуляция!$T$3:$AM$3,0)),Калькуляция!$A$15:$A$266,$A612,Калькуляция!$B$15:$B$266,$B612)</f>
        <v>#N/A</v>
      </c>
      <c r="AK612" s="501" t="e">
        <f>IF(AI612=0,0,(AJ612-AI612)/AI612*100)</f>
        <v>#N/A</v>
      </c>
      <c r="AL612" s="493" t="e">
        <f>SUMIFS(INDEX(Калькуляция!$T$15:$AM$266,,MATCH(AL$3,Калькуляция!$T$3:$AM$3,0)),Калькуляция!$A$15:$A$266,$A612,Калькуляция!$B$15:$B$266,$B612)</f>
        <v>#N/A</v>
      </c>
      <c r="AM612" s="493" t="e">
        <f>SUMIFS(INDEX(Калькуляция!$T$15:$AM$266,,MATCH(AM$3,Калькуляция!$T$3:$AM$3,0)),Калькуляция!$A$15:$A$266,$A612,Калькуляция!$B$15:$B$266,$B612)</f>
        <v>#N/A</v>
      </c>
      <c r="AN612" s="501" t="e">
        <f>IF(AL612=0,0,(AM612-AL612)/AL612*100)</f>
        <v>#N/A</v>
      </c>
      <c r="AO612" s="493" t="e">
        <f>SUMIFS(INDEX(Калькуляция!$T$15:$AM$266,,MATCH(AO$3,Калькуляция!$T$3:$AM$3,0)),Калькуляция!$A$15:$A$266,$A612,Калькуляция!$B$15:$B$266,$B612)</f>
        <v>#N/A</v>
      </c>
      <c r="AP612" s="493" t="e">
        <f>SUMIFS(INDEX(Калькуляция!$T$15:$AM$266,,MATCH(AP$3,Калькуляция!$T$3:$AM$3,0)),Калькуляция!$A$15:$A$266,$A612,Калькуляция!$B$15:$B$266,$B612)</f>
        <v>#N/A</v>
      </c>
      <c r="AQ612" s="501" t="e">
        <f>IF(AO612=0,0,(AP612-AO612)/AO612*100)</f>
        <v>#N/A</v>
      </c>
      <c r="AR612" s="493"/>
      <c r="AS612" s="493"/>
      <c r="AT612" s="501">
        <f>IF(AR612=0,0,(AS612-AR612)/AR612*100)</f>
        <v>0</v>
      </c>
      <c r="AU612" s="493"/>
      <c r="AV612" s="493"/>
      <c r="AW612" s="501">
        <f>IF(AU612=0,0,(AV612-AU612)/AU612*100)</f>
        <v>0</v>
      </c>
      <c r="AX612" s="493"/>
      <c r="AY612" s="493"/>
      <c r="AZ612" s="501">
        <f>IF(AX612=0,0,(AY612-AX612)/AX612*100)</f>
        <v>0</v>
      </c>
      <c r="BA612" s="493"/>
      <c r="BB612" s="493"/>
      <c r="BC612" s="501">
        <f>IF(BA612=0,0,(BB612-BA612)/BA612*100)</f>
        <v>0</v>
      </c>
      <c r="BD612" s="493"/>
      <c r="BE612" s="493"/>
      <c r="BF612" s="501">
        <f>IF(BD612=0,0,(BE612-BD612)/BD612*100)</f>
        <v>0</v>
      </c>
      <c r="BG612" s="493"/>
      <c r="BH612" s="493"/>
      <c r="BI612" s="501">
        <f>IF(BG612=0,0,(BH612-BG612)/BG612*100)</f>
        <v>0</v>
      </c>
      <c r="BJ612" s="493"/>
      <c r="BK612" s="493"/>
      <c r="BL612" s="501">
        <f>IF(BJ612=0,0,(BK612-BJ612)/BJ612*100)</f>
        <v>0</v>
      </c>
      <c r="BM612" s="493"/>
      <c r="BN612" s="493"/>
      <c r="BO612" s="501">
        <f>IF(BM612=0,0,(BN612-BM612)/BM612*100)</f>
        <v>0</v>
      </c>
      <c r="BP612" s="493"/>
      <c r="BQ612" s="493"/>
      <c r="BR612" s="501">
        <f>IF(BP612=0,0,(BQ612-BP612)/BP612*100)</f>
        <v>0</v>
      </c>
      <c r="BS612" s="493"/>
      <c r="BT612" s="493"/>
      <c r="BU612" s="501">
        <f>IF(BS612=0,0,(BT612-BS612)/BS612*100)</f>
        <v>0</v>
      </c>
      <c r="BV612" s="493"/>
      <c r="BW612" s="493"/>
      <c r="BX612" s="501">
        <f>IF(BV612=0,0,(BW612-BV612)/BV612*100)</f>
        <v>0</v>
      </c>
      <c r="BY612" s="493"/>
      <c r="BZ612" s="493"/>
      <c r="CA612" s="501">
        <f>IF(BY612=0,0,(BZ612-BY612)/BY612*100)</f>
        <v>0</v>
      </c>
      <c r="CB612" s="493"/>
      <c r="CC612" s="493"/>
      <c r="CD612" s="501">
        <f>IF(CB612=0,0,(CC612-CB612)/CB612*100)</f>
        <v>0</v>
      </c>
      <c r="CE612" s="493"/>
      <c r="CF612" s="493"/>
      <c r="CG612" s="501">
        <f>IF(CE612=0,0,(CF612-CE612)/CE612*100)</f>
        <v>0</v>
      </c>
      <c r="CH612" s="493"/>
      <c r="CI612" s="493"/>
      <c r="CJ612" s="501">
        <f>IF(CH612=0,0,(CI612-CH612)/CH612*100)</f>
        <v>0</v>
      </c>
      <c r="CK612" s="493"/>
      <c r="CL612" s="493"/>
      <c r="CM612" s="501">
        <f>IF(CK612=0,0,(CL612-CK612)/CK612*100)</f>
        <v>0</v>
      </c>
      <c r="CN612" s="493"/>
      <c r="CO612" s="493"/>
      <c r="CP612" s="501">
        <f>IF(CN612=0,0,(CO612-CN612)/CN612*100)</f>
        <v>0</v>
      </c>
      <c r="CQ612" s="493"/>
      <c r="CR612" s="493"/>
      <c r="CS612" s="501">
        <f>IF(CQ612=0,0,(CR612-CQ612)/CQ612*100)</f>
        <v>0</v>
      </c>
      <c r="CT612" s="493"/>
      <c r="CU612" s="493"/>
      <c r="CV612" s="501">
        <f>IF(CT612=0,0,(CU612-CT612)/CT612*100)</f>
        <v>0</v>
      </c>
      <c r="CW612" s="493"/>
      <c r="CX612" s="493"/>
      <c r="CY612" s="501">
        <f>IF(CW612=0,0,(CX612-CW612)/CW612*100)</f>
        <v>0</v>
      </c>
      <c r="CZ612" s="493"/>
      <c r="DA612" s="493"/>
      <c r="DB612" s="501">
        <f>IF(CZ612=0,0,(DA612-CZ612)/CZ612*100)</f>
        <v>0</v>
      </c>
      <c r="DC612" s="493"/>
      <c r="DD612" s="493"/>
      <c r="DE612" s="501">
        <f>IF(DC612=0,0,(DD612-DC612)/DC612*100)</f>
        <v>0</v>
      </c>
      <c r="DF612" s="493"/>
      <c r="DG612" s="493"/>
      <c r="DH612" s="501">
        <f>IF(DF612=0,0,(DG612-DF612)/DF612*100)</f>
        <v>0</v>
      </c>
      <c r="DI612" s="493"/>
      <c r="DJ612" s="493"/>
      <c r="DK612" s="501">
        <f>IF(DI612=0,0,(DJ612-DI612)/DI612*100)</f>
        <v>0</v>
      </c>
      <c r="DL612" s="493"/>
      <c r="DM612" s="493"/>
      <c r="DN612" s="501">
        <f>IF(DL612=0,0,(DM612-DL612)/DL612*100)</f>
        <v>0</v>
      </c>
      <c r="DO612" s="493"/>
      <c r="DP612" s="493"/>
      <c r="DQ612" s="501">
        <f>IF(DO612=0,0,(DP612-DO612)/DO612*100)</f>
        <v>0</v>
      </c>
      <c r="DR612" s="493"/>
      <c r="DS612" s="493"/>
      <c r="DT612" s="501">
        <f>IF(DR612=0,0,(DS612-DR612)/DR612*100)</f>
        <v>0</v>
      </c>
      <c r="DU612" s="493"/>
      <c r="DV612" s="493"/>
      <c r="DW612" s="501">
        <f>IF(DU612=0,0,(DV612-DU612)/DU612*100)</f>
        <v>0</v>
      </c>
      <c r="DX612" s="493"/>
      <c r="DY612" s="493"/>
      <c r="DZ612" s="501">
        <f>IF(DX612=0,0,(DY612-DX612)/DX612*100)</f>
        <v>0</v>
      </c>
      <c r="EA612" s="493"/>
      <c r="EB612" s="493"/>
      <c r="EC612" s="501">
        <f>IF(EA612=0,0,(EB612-EA612)/EA612*100)</f>
        <v>0</v>
      </c>
      <c r="ED612" s="493"/>
      <c r="EE612" s="493"/>
      <c r="EF612" s="501">
        <f>IF(ED612=0,0,(EE612-ED612)/ED612*100)</f>
        <v>0</v>
      </c>
      <c r="EG612" s="493"/>
      <c r="EH612" s="493"/>
      <c r="EI612" s="501">
        <f>IF(EG612=0,0,(EH612-EG612)/EG612*100)</f>
        <v>0</v>
      </c>
      <c r="EJ612" s="493"/>
      <c r="EK612" s="493"/>
      <c r="EL612" s="501">
        <f>IF(EJ612=0,0,(EK612-EJ612)/EJ612*100)</f>
        <v>0</v>
      </c>
      <c r="EM612" s="493"/>
      <c r="EN612" s="493"/>
      <c r="EO612" s="501">
        <f>IF(EM612=0,0,(EN612-EM612)/EM612*100)</f>
        <v>0</v>
      </c>
      <c r="EP612" s="493"/>
      <c r="EQ612" s="493"/>
      <c r="ER612" s="501">
        <f>IF(EP612=0,0,(EQ612-EP612)/EP612*100)</f>
        <v>0</v>
      </c>
      <c r="ES612" s="493"/>
      <c r="ET612" s="493"/>
      <c r="EU612" s="501">
        <f>IF(ES612=0,0,(ET612-ES612)/ES612*100)</f>
        <v>0</v>
      </c>
      <c r="EV612" s="493"/>
      <c r="EW612" s="493"/>
      <c r="EX612" s="501">
        <f>IF(EV612=0,0,(EW612-EV612)/EV612*100)</f>
        <v>0</v>
      </c>
      <c r="EY612" s="493"/>
      <c r="EZ612" s="493"/>
      <c r="FA612" s="501">
        <f>IF(EY612=0,0,(EZ612-EY612)/EY612*100)</f>
        <v>0</v>
      </c>
      <c r="FB612" s="493"/>
      <c r="FC612" s="493"/>
      <c r="FD612" s="501">
        <f>IF(FB612=0,0,(FC612-FB612)/FB612*100)</f>
        <v>0</v>
      </c>
      <c r="FE612" s="493"/>
      <c r="FF612" s="493"/>
      <c r="FG612" s="501">
        <f>IF(FE612=0,0,(FF612-FE612)/FE612*100)</f>
        <v>0</v>
      </c>
    </row>
    <row r="613" spans="1:163" s="509" customFormat="1" ht="24.75" customHeight="1" outlineLevel="1">
      <c r="A613" s="509" t="str">
        <f t="shared" si="127"/>
        <v>1</v>
      </c>
      <c r="C613" s="509" t="s">
        <v>1569</v>
      </c>
      <c r="D613" s="509" t="s">
        <v>1606</v>
      </c>
      <c r="G613" s="509" t="b">
        <f>F582="двухставочный"</f>
        <v>0</v>
      </c>
      <c r="L613" s="356" t="s">
        <v>671</v>
      </c>
      <c r="M613" s="499" t="s">
        <v>672</v>
      </c>
      <c r="N613" s="354"/>
      <c r="O613" s="354"/>
      <c r="P613" s="353">
        <f>IF(N613=0,0,(O613-N613)/N613*100)</f>
        <v>0</v>
      </c>
      <c r="Q613" s="354"/>
      <c r="R613" s="354"/>
      <c r="S613" s="353">
        <f>IF(Q613=0,0,(R613-Q613)/Q613*100)</f>
        <v>0</v>
      </c>
      <c r="T613" s="354"/>
      <c r="U613" s="354"/>
      <c r="V613" s="353">
        <f>IF(T613=0,0,(U613-T613)/T613*100)</f>
        <v>0</v>
      </c>
      <c r="W613" s="354"/>
      <c r="X613" s="354"/>
      <c r="Y613" s="353">
        <f>IF(W613=0,0,(X613-W613)/W613*100)</f>
        <v>0</v>
      </c>
      <c r="Z613" s="354"/>
      <c r="AA613" s="354"/>
      <c r="AB613" s="353">
        <f>IF(Z613=0,0,(AA613-Z613)/Z613*100)</f>
        <v>0</v>
      </c>
      <c r="AC613" s="354"/>
      <c r="AD613" s="354"/>
      <c r="AE613" s="353">
        <f>IF(AC613=0,0,(AD613-AC613)/AC613*100)</f>
        <v>0</v>
      </c>
      <c r="AF613" s="354"/>
      <c r="AG613" s="354"/>
      <c r="AH613" s="353">
        <f>IF(AF613=0,0,(AG613-AF613)/AF613*100)</f>
        <v>0</v>
      </c>
      <c r="AI613" s="354"/>
      <c r="AJ613" s="354"/>
      <c r="AK613" s="353">
        <f>IF(AI613=0,0,(AJ613-AI613)/AI613*100)</f>
        <v>0</v>
      </c>
      <c r="AL613" s="354"/>
      <c r="AM613" s="354"/>
      <c r="AN613" s="353">
        <f>IF(AL613=0,0,(AM613-AL613)/AL613*100)</f>
        <v>0</v>
      </c>
      <c r="AO613" s="354"/>
      <c r="AP613" s="354"/>
      <c r="AQ613" s="353">
        <f>IF(AO613=0,0,(AP613-AO613)/AO613*100)</f>
        <v>0</v>
      </c>
      <c r="AR613" s="354"/>
      <c r="AS613" s="354"/>
      <c r="AT613" s="353">
        <f>IF(AR613=0,0,(AS613-AR613)/AR613*100)</f>
        <v>0</v>
      </c>
      <c r="AU613" s="354"/>
      <c r="AV613" s="354"/>
      <c r="AW613" s="353">
        <f>IF(AU613=0,0,(AV613-AU613)/AU613*100)</f>
        <v>0</v>
      </c>
      <c r="AX613" s="354"/>
      <c r="AY613" s="354"/>
      <c r="AZ613" s="353">
        <f>IF(AX613=0,0,(AY613-AX613)/AX613*100)</f>
        <v>0</v>
      </c>
      <c r="BA613" s="354"/>
      <c r="BB613" s="354"/>
      <c r="BC613" s="353">
        <f>IF(BA613=0,0,(BB613-BA613)/BA613*100)</f>
        <v>0</v>
      </c>
      <c r="BD613" s="354"/>
      <c r="BE613" s="354"/>
      <c r="BF613" s="353">
        <f>IF(BD613=0,0,(BE613-BD613)/BD613*100)</f>
        <v>0</v>
      </c>
      <c r="BG613" s="354"/>
      <c r="BH613" s="354"/>
      <c r="BI613" s="353">
        <f>IF(BG613=0,0,(BH613-BG613)/BG613*100)</f>
        <v>0</v>
      </c>
      <c r="BJ613" s="354"/>
      <c r="BK613" s="354"/>
      <c r="BL613" s="353">
        <f>IF(BJ613=0,0,(BK613-BJ613)/BJ613*100)</f>
        <v>0</v>
      </c>
      <c r="BM613" s="354"/>
      <c r="BN613" s="354"/>
      <c r="BO613" s="353">
        <f>IF(BM613=0,0,(BN613-BM613)/BM613*100)</f>
        <v>0</v>
      </c>
      <c r="BP613" s="354"/>
      <c r="BQ613" s="354"/>
      <c r="BR613" s="353">
        <f>IF(BP613=0,0,(BQ613-BP613)/BP613*100)</f>
        <v>0</v>
      </c>
      <c r="BS613" s="354"/>
      <c r="BT613" s="354"/>
      <c r="BU613" s="353">
        <f>IF(BS613=0,0,(BT613-BS613)/BS613*100)</f>
        <v>0</v>
      </c>
      <c r="BV613" s="354"/>
      <c r="BW613" s="354"/>
      <c r="BX613" s="353">
        <f>IF(BV613=0,0,(BW613-BV613)/BV613*100)</f>
        <v>0</v>
      </c>
      <c r="BY613" s="354"/>
      <c r="BZ613" s="354"/>
      <c r="CA613" s="353">
        <f>IF(BY613=0,0,(BZ613-BY613)/BY613*100)</f>
        <v>0</v>
      </c>
      <c r="CB613" s="354"/>
      <c r="CC613" s="354"/>
      <c r="CD613" s="353">
        <f>IF(CB613=0,0,(CC613-CB613)/CB613*100)</f>
        <v>0</v>
      </c>
      <c r="CE613" s="354"/>
      <c r="CF613" s="354"/>
      <c r="CG613" s="353">
        <f>IF(CE613=0,0,(CF613-CE613)/CE613*100)</f>
        <v>0</v>
      </c>
      <c r="CH613" s="354"/>
      <c r="CI613" s="354"/>
      <c r="CJ613" s="353">
        <f>IF(CH613=0,0,(CI613-CH613)/CH613*100)</f>
        <v>0</v>
      </c>
      <c r="CK613" s="354"/>
      <c r="CL613" s="354"/>
      <c r="CM613" s="353">
        <f>IF(CK613=0,0,(CL613-CK613)/CK613*100)</f>
        <v>0</v>
      </c>
      <c r="CN613" s="354"/>
      <c r="CO613" s="354"/>
      <c r="CP613" s="353">
        <f>IF(CN613=0,0,(CO613-CN613)/CN613*100)</f>
        <v>0</v>
      </c>
      <c r="CQ613" s="354"/>
      <c r="CR613" s="354"/>
      <c r="CS613" s="353">
        <f>IF(CQ613=0,0,(CR613-CQ613)/CQ613*100)</f>
        <v>0</v>
      </c>
      <c r="CT613" s="354"/>
      <c r="CU613" s="354"/>
      <c r="CV613" s="353">
        <f>IF(CT613=0,0,(CU613-CT613)/CT613*100)</f>
        <v>0</v>
      </c>
      <c r="CW613" s="354"/>
      <c r="CX613" s="354"/>
      <c r="CY613" s="353">
        <f>IF(CW613=0,0,(CX613-CW613)/CW613*100)</f>
        <v>0</v>
      </c>
      <c r="CZ613" s="354"/>
      <c r="DA613" s="354"/>
      <c r="DB613" s="353">
        <f>IF(CZ613=0,0,(DA613-CZ613)/CZ613*100)</f>
        <v>0</v>
      </c>
      <c r="DC613" s="354"/>
      <c r="DD613" s="354"/>
      <c r="DE613" s="353">
        <f>IF(DC613=0,0,(DD613-DC613)/DC613*100)</f>
        <v>0</v>
      </c>
      <c r="DF613" s="354"/>
      <c r="DG613" s="354"/>
      <c r="DH613" s="353">
        <f>IF(DF613=0,0,(DG613-DF613)/DF613*100)</f>
        <v>0</v>
      </c>
      <c r="DI613" s="354"/>
      <c r="DJ613" s="354"/>
      <c r="DK613" s="353">
        <f>IF(DI613=0,0,(DJ613-DI613)/DI613*100)</f>
        <v>0</v>
      </c>
      <c r="DL613" s="354"/>
      <c r="DM613" s="354"/>
      <c r="DN613" s="353">
        <f>IF(DL613=0,0,(DM613-DL613)/DL613*100)</f>
        <v>0</v>
      </c>
      <c r="DO613" s="354"/>
      <c r="DP613" s="354"/>
      <c r="DQ613" s="353">
        <f>IF(DO613=0,0,(DP613-DO613)/DO613*100)</f>
        <v>0</v>
      </c>
      <c r="DR613" s="354"/>
      <c r="DS613" s="354"/>
      <c r="DT613" s="353">
        <f>IF(DR613=0,0,(DS613-DR613)/DR613*100)</f>
        <v>0</v>
      </c>
      <c r="DU613" s="354"/>
      <c r="DV613" s="354"/>
      <c r="DW613" s="353">
        <f>IF(DU613=0,0,(DV613-DU613)/DU613*100)</f>
        <v>0</v>
      </c>
      <c r="DX613" s="354"/>
      <c r="DY613" s="354"/>
      <c r="DZ613" s="353">
        <f>IF(DX613=0,0,(DY613-DX613)/DX613*100)</f>
        <v>0</v>
      </c>
      <c r="EA613" s="354"/>
      <c r="EB613" s="354"/>
      <c r="EC613" s="353">
        <f>IF(EA613=0,0,(EB613-EA613)/EA613*100)</f>
        <v>0</v>
      </c>
      <c r="ED613" s="354"/>
      <c r="EE613" s="354"/>
      <c r="EF613" s="353">
        <f>IF(ED613=0,0,(EE613-ED613)/ED613*100)</f>
        <v>0</v>
      </c>
      <c r="EG613" s="354"/>
      <c r="EH613" s="354"/>
      <c r="EI613" s="353">
        <f>IF(EG613=0,0,(EH613-EG613)/EG613*100)</f>
        <v>0</v>
      </c>
      <c r="EJ613" s="354"/>
      <c r="EK613" s="354"/>
      <c r="EL613" s="353">
        <f>IF(EJ613=0,0,(EK613-EJ613)/EJ613*100)</f>
        <v>0</v>
      </c>
      <c r="EM613" s="354"/>
      <c r="EN613" s="354"/>
      <c r="EO613" s="353">
        <f>IF(EM613=0,0,(EN613-EM613)/EM613*100)</f>
        <v>0</v>
      </c>
      <c r="EP613" s="354"/>
      <c r="EQ613" s="354"/>
      <c r="ER613" s="353">
        <f>IF(EP613=0,0,(EQ613-EP613)/EP613*100)</f>
        <v>0</v>
      </c>
      <c r="ES613" s="354"/>
      <c r="ET613" s="354"/>
      <c r="EU613" s="353">
        <f>IF(ES613=0,0,(ET613-ES613)/ES613*100)</f>
        <v>0</v>
      </c>
      <c r="EV613" s="354"/>
      <c r="EW613" s="354"/>
      <c r="EX613" s="353">
        <f>IF(EV613=0,0,(EW613-EV613)/EV613*100)</f>
        <v>0</v>
      </c>
      <c r="EY613" s="354"/>
      <c r="EZ613" s="354"/>
      <c r="FA613" s="353">
        <f>IF(EY613=0,0,(EZ613-EY613)/EY613*100)</f>
        <v>0</v>
      </c>
      <c r="FB613" s="354"/>
      <c r="FC613" s="354"/>
      <c r="FD613" s="353">
        <f>IF(FB613=0,0,(FC613-FB613)/FB613*100)</f>
        <v>0</v>
      </c>
      <c r="FE613" s="354"/>
      <c r="FF613" s="354"/>
      <c r="FG613" s="353">
        <f>IF(FE613=0,0,(FF613-FE613)/FE613*100)</f>
        <v>0</v>
      </c>
    </row>
    <row r="614" spans="1:163" s="509" customFormat="1" ht="15" customHeight="1" outlineLevel="1">
      <c r="A614" s="509" t="str">
        <f t="shared" si="127"/>
        <v>1</v>
      </c>
      <c r="C614" s="509" t="s">
        <v>1570</v>
      </c>
      <c r="D614" s="509" t="s">
        <v>1606</v>
      </c>
      <c r="G614" s="509" t="b">
        <f>F582="двухставочный"</f>
        <v>0</v>
      </c>
      <c r="L614" s="356" t="s">
        <v>673</v>
      </c>
      <c r="M614" s="499" t="s">
        <v>674</v>
      </c>
      <c r="N614" s="354"/>
      <c r="O614" s="354"/>
      <c r="P614" s="353">
        <f>IF(N614=0,0,(O614-N614)/N614*100)</f>
        <v>0</v>
      </c>
      <c r="Q614" s="354"/>
      <c r="R614" s="354"/>
      <c r="S614" s="353">
        <f>IF(Q614=0,0,(R614-Q614)/Q614*100)</f>
        <v>0</v>
      </c>
      <c r="T614" s="354"/>
      <c r="U614" s="354"/>
      <c r="V614" s="353">
        <f>IF(T614=0,0,(U614-T614)/T614*100)</f>
        <v>0</v>
      </c>
      <c r="W614" s="354"/>
      <c r="X614" s="354"/>
      <c r="Y614" s="353">
        <f>IF(W614=0,0,(X614-W614)/W614*100)</f>
        <v>0</v>
      </c>
      <c r="Z614" s="354"/>
      <c r="AA614" s="354"/>
      <c r="AB614" s="353">
        <f>IF(Z614=0,0,(AA614-Z614)/Z614*100)</f>
        <v>0</v>
      </c>
      <c r="AC614" s="354"/>
      <c r="AD614" s="354"/>
      <c r="AE614" s="353">
        <f>IF(AC614=0,0,(AD614-AC614)/AC614*100)</f>
        <v>0</v>
      </c>
      <c r="AF614" s="354"/>
      <c r="AG614" s="354"/>
      <c r="AH614" s="353">
        <f>IF(AF614=0,0,(AG614-AF614)/AF614*100)</f>
        <v>0</v>
      </c>
      <c r="AI614" s="354"/>
      <c r="AJ614" s="354"/>
      <c r="AK614" s="353">
        <f>IF(AI614=0,0,(AJ614-AI614)/AI614*100)</f>
        <v>0</v>
      </c>
      <c r="AL614" s="354"/>
      <c r="AM614" s="354"/>
      <c r="AN614" s="353">
        <f>IF(AL614=0,0,(AM614-AL614)/AL614*100)</f>
        <v>0</v>
      </c>
      <c r="AO614" s="354"/>
      <c r="AP614" s="354"/>
      <c r="AQ614" s="353">
        <f>IF(AO614=0,0,(AP614-AO614)/AO614*100)</f>
        <v>0</v>
      </c>
      <c r="AR614" s="354"/>
      <c r="AS614" s="354"/>
      <c r="AT614" s="353">
        <f>IF(AR614=0,0,(AS614-AR614)/AR614*100)</f>
        <v>0</v>
      </c>
      <c r="AU614" s="354"/>
      <c r="AV614" s="354"/>
      <c r="AW614" s="353">
        <f>IF(AU614=0,0,(AV614-AU614)/AU614*100)</f>
        <v>0</v>
      </c>
      <c r="AX614" s="354"/>
      <c r="AY614" s="354"/>
      <c r="AZ614" s="353">
        <f>IF(AX614=0,0,(AY614-AX614)/AX614*100)</f>
        <v>0</v>
      </c>
      <c r="BA614" s="354"/>
      <c r="BB614" s="354"/>
      <c r="BC614" s="353">
        <f>IF(BA614=0,0,(BB614-BA614)/BA614*100)</f>
        <v>0</v>
      </c>
      <c r="BD614" s="354"/>
      <c r="BE614" s="354"/>
      <c r="BF614" s="353">
        <f>IF(BD614=0,0,(BE614-BD614)/BD614*100)</f>
        <v>0</v>
      </c>
      <c r="BG614" s="354"/>
      <c r="BH614" s="354"/>
      <c r="BI614" s="353">
        <f>IF(BG614=0,0,(BH614-BG614)/BG614*100)</f>
        <v>0</v>
      </c>
      <c r="BJ614" s="354"/>
      <c r="BK614" s="354"/>
      <c r="BL614" s="353">
        <f>IF(BJ614=0,0,(BK614-BJ614)/BJ614*100)</f>
        <v>0</v>
      </c>
      <c r="BM614" s="354"/>
      <c r="BN614" s="354"/>
      <c r="BO614" s="353">
        <f>IF(BM614=0,0,(BN614-BM614)/BM614*100)</f>
        <v>0</v>
      </c>
      <c r="BP614" s="354"/>
      <c r="BQ614" s="354"/>
      <c r="BR614" s="353">
        <f>IF(BP614=0,0,(BQ614-BP614)/BP614*100)</f>
        <v>0</v>
      </c>
      <c r="BS614" s="354"/>
      <c r="BT614" s="354"/>
      <c r="BU614" s="353">
        <f>IF(BS614=0,0,(BT614-BS614)/BS614*100)</f>
        <v>0</v>
      </c>
      <c r="BV614" s="354"/>
      <c r="BW614" s="354"/>
      <c r="BX614" s="353">
        <f>IF(BV614=0,0,(BW614-BV614)/BV614*100)</f>
        <v>0</v>
      </c>
      <c r="BY614" s="354"/>
      <c r="BZ614" s="354"/>
      <c r="CA614" s="353">
        <f>IF(BY614=0,0,(BZ614-BY614)/BY614*100)</f>
        <v>0</v>
      </c>
      <c r="CB614" s="354"/>
      <c r="CC614" s="354"/>
      <c r="CD614" s="353">
        <f>IF(CB614=0,0,(CC614-CB614)/CB614*100)</f>
        <v>0</v>
      </c>
      <c r="CE614" s="354"/>
      <c r="CF614" s="354"/>
      <c r="CG614" s="353">
        <f>IF(CE614=0,0,(CF614-CE614)/CE614*100)</f>
        <v>0</v>
      </c>
      <c r="CH614" s="354"/>
      <c r="CI614" s="354"/>
      <c r="CJ614" s="353">
        <f>IF(CH614=0,0,(CI614-CH614)/CH614*100)</f>
        <v>0</v>
      </c>
      <c r="CK614" s="354"/>
      <c r="CL614" s="354"/>
      <c r="CM614" s="353">
        <f>IF(CK614=0,0,(CL614-CK614)/CK614*100)</f>
        <v>0</v>
      </c>
      <c r="CN614" s="354"/>
      <c r="CO614" s="354"/>
      <c r="CP614" s="353">
        <f>IF(CN614=0,0,(CO614-CN614)/CN614*100)</f>
        <v>0</v>
      </c>
      <c r="CQ614" s="354"/>
      <c r="CR614" s="354"/>
      <c r="CS614" s="353">
        <f>IF(CQ614=0,0,(CR614-CQ614)/CQ614*100)</f>
        <v>0</v>
      </c>
      <c r="CT614" s="354"/>
      <c r="CU614" s="354"/>
      <c r="CV614" s="353">
        <f>IF(CT614=0,0,(CU614-CT614)/CT614*100)</f>
        <v>0</v>
      </c>
      <c r="CW614" s="354"/>
      <c r="CX614" s="354"/>
      <c r="CY614" s="353">
        <f>IF(CW614=0,0,(CX614-CW614)/CW614*100)</f>
        <v>0</v>
      </c>
      <c r="CZ614" s="354"/>
      <c r="DA614" s="354"/>
      <c r="DB614" s="353">
        <f>IF(CZ614=0,0,(DA614-CZ614)/CZ614*100)</f>
        <v>0</v>
      </c>
      <c r="DC614" s="354"/>
      <c r="DD614" s="354"/>
      <c r="DE614" s="353">
        <f>IF(DC614=0,0,(DD614-DC614)/DC614*100)</f>
        <v>0</v>
      </c>
      <c r="DF614" s="354"/>
      <c r="DG614" s="354"/>
      <c r="DH614" s="353">
        <f>IF(DF614=0,0,(DG614-DF614)/DF614*100)</f>
        <v>0</v>
      </c>
      <c r="DI614" s="354"/>
      <c r="DJ614" s="354"/>
      <c r="DK614" s="353">
        <f>IF(DI614=0,0,(DJ614-DI614)/DI614*100)</f>
        <v>0</v>
      </c>
      <c r="DL614" s="354"/>
      <c r="DM614" s="354"/>
      <c r="DN614" s="353">
        <f>IF(DL614=0,0,(DM614-DL614)/DL614*100)</f>
        <v>0</v>
      </c>
      <c r="DO614" s="354"/>
      <c r="DP614" s="354"/>
      <c r="DQ614" s="353">
        <f>IF(DO614=0,0,(DP614-DO614)/DO614*100)</f>
        <v>0</v>
      </c>
      <c r="DR614" s="354"/>
      <c r="DS614" s="354"/>
      <c r="DT614" s="353">
        <f>IF(DR614=0,0,(DS614-DR614)/DR614*100)</f>
        <v>0</v>
      </c>
      <c r="DU614" s="354"/>
      <c r="DV614" s="354"/>
      <c r="DW614" s="353">
        <f>IF(DU614=0,0,(DV614-DU614)/DU614*100)</f>
        <v>0</v>
      </c>
      <c r="DX614" s="354"/>
      <c r="DY614" s="354"/>
      <c r="DZ614" s="353">
        <f>IF(DX614=0,0,(DY614-DX614)/DX614*100)</f>
        <v>0</v>
      </c>
      <c r="EA614" s="354"/>
      <c r="EB614" s="354"/>
      <c r="EC614" s="353">
        <f>IF(EA614=0,0,(EB614-EA614)/EA614*100)</f>
        <v>0</v>
      </c>
      <c r="ED614" s="354"/>
      <c r="EE614" s="354"/>
      <c r="EF614" s="353">
        <f>IF(ED614=0,0,(EE614-ED614)/ED614*100)</f>
        <v>0</v>
      </c>
      <c r="EG614" s="354"/>
      <c r="EH614" s="354"/>
      <c r="EI614" s="353">
        <f>IF(EG614=0,0,(EH614-EG614)/EG614*100)</f>
        <v>0</v>
      </c>
      <c r="EJ614" s="354"/>
      <c r="EK614" s="354"/>
      <c r="EL614" s="353">
        <f>IF(EJ614=0,0,(EK614-EJ614)/EJ614*100)</f>
        <v>0</v>
      </c>
      <c r="EM614" s="354"/>
      <c r="EN614" s="354"/>
      <c r="EO614" s="353">
        <f>IF(EM614=0,0,(EN614-EM614)/EM614*100)</f>
        <v>0</v>
      </c>
      <c r="EP614" s="354"/>
      <c r="EQ614" s="354"/>
      <c r="ER614" s="353">
        <f>IF(EP614=0,0,(EQ614-EP614)/EP614*100)</f>
        <v>0</v>
      </c>
      <c r="ES614" s="354"/>
      <c r="ET614" s="354"/>
      <c r="EU614" s="353">
        <f>IF(ES614=0,0,(ET614-ES614)/ES614*100)</f>
        <v>0</v>
      </c>
      <c r="EV614" s="354"/>
      <c r="EW614" s="354"/>
      <c r="EX614" s="353">
        <f>IF(EV614=0,0,(EW614-EV614)/EV614*100)</f>
        <v>0</v>
      </c>
      <c r="EY614" s="354"/>
      <c r="EZ614" s="354"/>
      <c r="FA614" s="353">
        <f>IF(EY614=0,0,(EZ614-EY614)/EY614*100)</f>
        <v>0</v>
      </c>
      <c r="FB614" s="354"/>
      <c r="FC614" s="354"/>
      <c r="FD614" s="353">
        <f>IF(FB614=0,0,(FC614-FB614)/FB614*100)</f>
        <v>0</v>
      </c>
      <c r="FE614" s="354"/>
      <c r="FF614" s="354"/>
      <c r="FG614" s="353">
        <f>IF(FE614=0,0,(FF614-FE614)/FE614*100)</f>
        <v>0</v>
      </c>
    </row>
    <row r="615" spans="1:163" s="509" customFormat="1" ht="15" customHeight="1" outlineLevel="1">
      <c r="A615" s="509" t="str">
        <f t="shared" si="127"/>
        <v>1</v>
      </c>
      <c r="G615" s="509" t="b">
        <f>F582="двухставочный"</f>
        <v>0</v>
      </c>
      <c r="L615" s="347" t="s">
        <v>1188</v>
      </c>
      <c r="M615" s="545"/>
      <c r="N615" s="546"/>
      <c r="O615" s="546"/>
      <c r="P615" s="546"/>
      <c r="Q615" s="546"/>
      <c r="R615" s="546"/>
      <c r="S615" s="546"/>
      <c r="T615" s="546"/>
      <c r="U615" s="546"/>
      <c r="V615" s="546"/>
      <c r="W615" s="546"/>
      <c r="X615" s="546"/>
      <c r="Y615" s="546"/>
      <c r="Z615" s="546"/>
      <c r="AA615" s="546"/>
      <c r="AB615" s="546"/>
      <c r="AC615" s="546"/>
      <c r="AD615" s="546"/>
      <c r="AE615" s="546"/>
      <c r="AF615" s="546"/>
      <c r="AG615" s="546"/>
      <c r="AH615" s="546"/>
      <c r="AI615" s="546"/>
      <c r="AJ615" s="546"/>
      <c r="AK615" s="546"/>
      <c r="AL615" s="546"/>
      <c r="AM615" s="546"/>
      <c r="AN615" s="546"/>
      <c r="AO615" s="546"/>
      <c r="AP615" s="546"/>
      <c r="AQ615" s="546"/>
      <c r="AR615" s="546"/>
      <c r="AS615" s="546"/>
      <c r="AT615" s="546"/>
      <c r="AU615" s="546"/>
      <c r="AV615" s="546"/>
      <c r="AW615" s="546"/>
      <c r="AX615" s="546"/>
      <c r="AY615" s="546"/>
      <c r="AZ615" s="546"/>
      <c r="BA615" s="546"/>
      <c r="BB615" s="546"/>
      <c r="BC615" s="546"/>
      <c r="BD615" s="546"/>
      <c r="BE615" s="546"/>
      <c r="BF615" s="546"/>
      <c r="BG615" s="546"/>
      <c r="BH615" s="546"/>
      <c r="BI615" s="546"/>
      <c r="BJ615" s="546"/>
      <c r="BK615" s="546"/>
      <c r="BL615" s="546"/>
      <c r="BM615" s="546"/>
      <c r="BN615" s="546"/>
      <c r="BO615" s="546"/>
      <c r="BP615" s="546"/>
      <c r="BQ615" s="546"/>
      <c r="BR615" s="546"/>
      <c r="BS615" s="546"/>
      <c r="BT615" s="546"/>
      <c r="BU615" s="546"/>
      <c r="BV615" s="546"/>
      <c r="BW615" s="546"/>
      <c r="BX615" s="546"/>
      <c r="BY615" s="546"/>
      <c r="BZ615" s="546"/>
      <c r="CA615" s="546"/>
      <c r="CB615" s="546"/>
      <c r="CC615" s="546"/>
      <c r="CD615" s="546"/>
      <c r="CE615" s="546"/>
      <c r="CF615" s="546"/>
      <c r="CG615" s="546"/>
      <c r="CH615" s="546"/>
      <c r="CI615" s="546"/>
      <c r="CJ615" s="546"/>
      <c r="CK615" s="546"/>
      <c r="CL615" s="546"/>
      <c r="CM615" s="546"/>
      <c r="CN615" s="546"/>
      <c r="CO615" s="546"/>
      <c r="CP615" s="546"/>
      <c r="CQ615" s="546"/>
      <c r="CR615" s="546"/>
      <c r="CS615" s="546"/>
      <c r="CT615" s="546"/>
      <c r="CU615" s="546"/>
      <c r="CV615" s="546"/>
      <c r="CW615" s="546"/>
      <c r="CX615" s="546"/>
      <c r="CY615" s="546"/>
      <c r="CZ615" s="546"/>
      <c r="DA615" s="546"/>
      <c r="DB615" s="546"/>
      <c r="DC615" s="546"/>
      <c r="DD615" s="546"/>
      <c r="DE615" s="546"/>
      <c r="DF615" s="546"/>
      <c r="DG615" s="546"/>
      <c r="DH615" s="546"/>
      <c r="DI615" s="546"/>
      <c r="DJ615" s="546"/>
      <c r="DK615" s="546"/>
      <c r="DL615" s="546"/>
      <c r="DM615" s="546"/>
      <c r="DN615" s="546"/>
      <c r="DO615" s="546"/>
      <c r="DP615" s="546"/>
      <c r="DQ615" s="546"/>
      <c r="DR615" s="546"/>
      <c r="DS615" s="546"/>
      <c r="DT615" s="546"/>
      <c r="DU615" s="546"/>
      <c r="DV615" s="546"/>
      <c r="DW615" s="546"/>
      <c r="DX615" s="546"/>
      <c r="DY615" s="546"/>
      <c r="DZ615" s="546"/>
      <c r="EA615" s="546"/>
      <c r="EB615" s="546"/>
      <c r="EC615" s="546"/>
      <c r="ED615" s="546"/>
      <c r="EE615" s="546"/>
      <c r="EF615" s="546"/>
      <c r="EG615" s="546"/>
      <c r="EH615" s="546"/>
      <c r="EI615" s="546"/>
      <c r="EJ615" s="546"/>
      <c r="EK615" s="546"/>
      <c r="EL615" s="546"/>
      <c r="EM615" s="546"/>
      <c r="EN615" s="546"/>
      <c r="EO615" s="546"/>
      <c r="EP615" s="546"/>
      <c r="EQ615" s="546"/>
      <c r="ER615" s="546"/>
      <c r="ES615" s="546"/>
      <c r="ET615" s="546"/>
      <c r="EU615" s="546"/>
      <c r="EV615" s="546"/>
      <c r="EW615" s="546"/>
      <c r="EX615" s="546"/>
      <c r="EY615" s="546"/>
      <c r="EZ615" s="546"/>
      <c r="FA615" s="546"/>
      <c r="FB615" s="546"/>
      <c r="FC615" s="546"/>
      <c r="FD615" s="546"/>
      <c r="FE615" s="546"/>
      <c r="FF615" s="546"/>
      <c r="FG615" s="547"/>
    </row>
    <row r="616" spans="1:163" s="509" customFormat="1" ht="15" customHeight="1" outlineLevel="1">
      <c r="A616" s="509" t="str">
        <f t="shared" si="127"/>
        <v>1</v>
      </c>
      <c r="C616" s="509" t="s">
        <v>1440</v>
      </c>
      <c r="D616" s="509" t="s">
        <v>1607</v>
      </c>
      <c r="G616" s="509" t="b">
        <f>F582="двухставочный"</f>
        <v>0</v>
      </c>
      <c r="L616" s="356" t="s">
        <v>668</v>
      </c>
      <c r="M616" s="499" t="s">
        <v>655</v>
      </c>
      <c r="N616" s="354" t="e">
        <f>IF(N618=0,0,(N617*N618+N619*N620*6)/N618)</f>
        <v>#N/A</v>
      </c>
      <c r="O616" s="354" t="e">
        <f>IF(O618=0,0,(O617*O618+O619*O620*6)/O618)</f>
        <v>#N/A</v>
      </c>
      <c r="P616" s="353" t="e">
        <f>IF(N616=0,0,(O616-N616)/N616*100)</f>
        <v>#N/A</v>
      </c>
      <c r="Q616" s="354" t="e">
        <f>IF(Q618=0,0,(Q617*Q618+Q619*Q620*6)/Q618)</f>
        <v>#N/A</v>
      </c>
      <c r="R616" s="354" t="e">
        <f>IF(R618=0,0,(R617*R618+R619*R620*6)/R618)</f>
        <v>#N/A</v>
      </c>
      <c r="S616" s="353" t="e">
        <f>IF(Q616=0,0,(R616-Q616)/Q616*100)</f>
        <v>#N/A</v>
      </c>
      <c r="T616" s="354" t="e">
        <f>IF(T618=0,0,(T617*T618+T619*T620*6)/T618)</f>
        <v>#N/A</v>
      </c>
      <c r="U616" s="354" t="e">
        <f>IF(U618=0,0,(U617*U618+U619*U620*6)/U618)</f>
        <v>#N/A</v>
      </c>
      <c r="V616" s="353" t="e">
        <f>IF(T616=0,0,(U616-T616)/T616*100)</f>
        <v>#N/A</v>
      </c>
      <c r="W616" s="354" t="e">
        <f>IF(W618=0,0,(W617*W618+W619*W620*6)/W618)</f>
        <v>#N/A</v>
      </c>
      <c r="X616" s="354" t="e">
        <f>IF(X618=0,0,(X617*X618+X619*X620*6)/X618)</f>
        <v>#N/A</v>
      </c>
      <c r="Y616" s="353" t="e">
        <f>IF(W616=0,0,(X616-W616)/W616*100)</f>
        <v>#N/A</v>
      </c>
      <c r="Z616" s="354" t="e">
        <f>IF(Z618=0,0,(Z617*Z618+Z619*Z620*6)/Z618)</f>
        <v>#N/A</v>
      </c>
      <c r="AA616" s="354" t="e">
        <f>IF(AA618=0,0,(AA617*AA618+AA619*AA620*6)/AA618)</f>
        <v>#N/A</v>
      </c>
      <c r="AB616" s="353" t="e">
        <f>IF(Z616=0,0,(AA616-Z616)/Z616*100)</f>
        <v>#N/A</v>
      </c>
      <c r="AC616" s="354" t="e">
        <f>IF(AC618=0,0,(AC617*AC618+AC619*AC620*6)/AC618)</f>
        <v>#N/A</v>
      </c>
      <c r="AD616" s="354" t="e">
        <f>IF(AD618=0,0,(AD617*AD618+AD619*AD620*6)/AD618)</f>
        <v>#N/A</v>
      </c>
      <c r="AE616" s="353" t="e">
        <f>IF(AC616=0,0,(AD616-AC616)/AC616*100)</f>
        <v>#N/A</v>
      </c>
      <c r="AF616" s="354" t="e">
        <f>IF(AF618=0,0,(AF617*AF618+AF619*AF620*6)/AF618)</f>
        <v>#N/A</v>
      </c>
      <c r="AG616" s="354" t="e">
        <f>IF(AG618=0,0,(AG617*AG618+AG619*AG620*6)/AG618)</f>
        <v>#N/A</v>
      </c>
      <c r="AH616" s="353" t="e">
        <f>IF(AF616=0,0,(AG616-AF616)/AF616*100)</f>
        <v>#N/A</v>
      </c>
      <c r="AI616" s="354" t="e">
        <f>IF(AI618=0,0,(AI617*AI618+AI619*AI620*6)/AI618)</f>
        <v>#N/A</v>
      </c>
      <c r="AJ616" s="354" t="e">
        <f>IF(AJ618=0,0,(AJ617*AJ618+AJ619*AJ620*6)/AJ618)</f>
        <v>#N/A</v>
      </c>
      <c r="AK616" s="353" t="e">
        <f>IF(AI616=0,0,(AJ616-AI616)/AI616*100)</f>
        <v>#N/A</v>
      </c>
      <c r="AL616" s="354" t="e">
        <f>IF(AL618=0,0,(AL617*AL618+AL619*AL620*6)/AL618)</f>
        <v>#N/A</v>
      </c>
      <c r="AM616" s="354" t="e">
        <f>IF(AM618=0,0,(AM617*AM618+AM619*AM620*6)/AM618)</f>
        <v>#N/A</v>
      </c>
      <c r="AN616" s="353" t="e">
        <f>IF(AL616=0,0,(AM616-AL616)/AL616*100)</f>
        <v>#N/A</v>
      </c>
      <c r="AO616" s="354" t="e">
        <f>IF(AO618=0,0,(AO617*AO618+AO619*AO620*6)/AO618)</f>
        <v>#N/A</v>
      </c>
      <c r="AP616" s="354" t="e">
        <f>IF(AP618=0,0,(AP617*AP618+AP619*AP620*6)/AP618)</f>
        <v>#N/A</v>
      </c>
      <c r="AQ616" s="353" t="e">
        <f>IF(AO616=0,0,(AP616-AO616)/AO616*100)</f>
        <v>#N/A</v>
      </c>
      <c r="AR616" s="354">
        <f>IF(AR618=0,0,(AR617*AR618+AR619*AR620*6)/AR618)</f>
        <v>0</v>
      </c>
      <c r="AS616" s="354">
        <f>IF(AS618=0,0,(AS617*AS618+AS619*AS620*6)/AS618)</f>
        <v>0</v>
      </c>
      <c r="AT616" s="353">
        <f>IF(AR616=0,0,(AS616-AR616)/AR616*100)</f>
        <v>0</v>
      </c>
      <c r="AU616" s="354">
        <f>IF(AU618=0,0,(AU617*AU618+AU619*AU620*6)/AU618)</f>
        <v>0</v>
      </c>
      <c r="AV616" s="354">
        <f>IF(AV618=0,0,(AV617*AV618+AV619*AV620*6)/AV618)</f>
        <v>0</v>
      </c>
      <c r="AW616" s="353">
        <f>IF(AU616=0,0,(AV616-AU616)/AU616*100)</f>
        <v>0</v>
      </c>
      <c r="AX616" s="354">
        <f>IF(AX618=0,0,(AX617*AX618+AX619*AX620*6)/AX618)</f>
        <v>0</v>
      </c>
      <c r="AY616" s="354">
        <f>IF(AY618=0,0,(AY617*AY618+AY619*AY620*6)/AY618)</f>
        <v>0</v>
      </c>
      <c r="AZ616" s="353">
        <f>IF(AX616=0,0,(AY616-AX616)/AX616*100)</f>
        <v>0</v>
      </c>
      <c r="BA616" s="354">
        <f>IF(BA618=0,0,(BA617*BA618+BA619*BA620*6)/BA618)</f>
        <v>0</v>
      </c>
      <c r="BB616" s="354">
        <f>IF(BB618=0,0,(BB617*BB618+BB619*BB620*6)/BB618)</f>
        <v>0</v>
      </c>
      <c r="BC616" s="353">
        <f>IF(BA616=0,0,(BB616-BA616)/BA616*100)</f>
        <v>0</v>
      </c>
      <c r="BD616" s="354">
        <f>IF(BD618=0,0,(BD617*BD618+BD619*BD620*6)/BD618)</f>
        <v>0</v>
      </c>
      <c r="BE616" s="354">
        <f>IF(BE618=0,0,(BE617*BE618+BE619*BE620*6)/BE618)</f>
        <v>0</v>
      </c>
      <c r="BF616" s="353">
        <f>IF(BD616=0,0,(BE616-BD616)/BD616*100)</f>
        <v>0</v>
      </c>
      <c r="BG616" s="354">
        <f>IF(BG618=0,0,(BG617*BG618+BG619*BG620*6)/BG618)</f>
        <v>0</v>
      </c>
      <c r="BH616" s="354">
        <f>IF(BH618=0,0,(BH617*BH618+BH619*BH620*6)/BH618)</f>
        <v>0</v>
      </c>
      <c r="BI616" s="353">
        <f>IF(BG616=0,0,(BH616-BG616)/BG616*100)</f>
        <v>0</v>
      </c>
      <c r="BJ616" s="354">
        <f>IF(BJ618=0,0,(BJ617*BJ618+BJ619*BJ620*6)/BJ618)</f>
        <v>0</v>
      </c>
      <c r="BK616" s="354">
        <f>IF(BK618=0,0,(BK617*BK618+BK619*BK620*6)/BK618)</f>
        <v>0</v>
      </c>
      <c r="BL616" s="353">
        <f>IF(BJ616=0,0,(BK616-BJ616)/BJ616*100)</f>
        <v>0</v>
      </c>
      <c r="BM616" s="354">
        <f>IF(BM618=0,0,(BM617*BM618+BM619*BM620*6)/BM618)</f>
        <v>0</v>
      </c>
      <c r="BN616" s="354">
        <f>IF(BN618=0,0,(BN617*BN618+BN619*BN620*6)/BN618)</f>
        <v>0</v>
      </c>
      <c r="BO616" s="353">
        <f>IF(BM616=0,0,(BN616-BM616)/BM616*100)</f>
        <v>0</v>
      </c>
      <c r="BP616" s="354">
        <f>IF(BP618=0,0,(BP617*BP618+BP619*BP620*6)/BP618)</f>
        <v>0</v>
      </c>
      <c r="BQ616" s="354">
        <f>IF(BQ618=0,0,(BQ617*BQ618+BQ619*BQ620*6)/BQ618)</f>
        <v>0</v>
      </c>
      <c r="BR616" s="353">
        <f>IF(BP616=0,0,(BQ616-BP616)/BP616*100)</f>
        <v>0</v>
      </c>
      <c r="BS616" s="354">
        <f>IF(BS618=0,0,(BS617*BS618+BS619*BS620*6)/BS618)</f>
        <v>0</v>
      </c>
      <c r="BT616" s="354">
        <f>IF(BT618=0,0,(BT617*BT618+BT619*BT620*6)/BT618)</f>
        <v>0</v>
      </c>
      <c r="BU616" s="353">
        <f>IF(BS616=0,0,(BT616-BS616)/BS616*100)</f>
        <v>0</v>
      </c>
      <c r="BV616" s="354">
        <f>IF(BV618=0,0,(BV617*BV618+BV619*BV620*6)/BV618)</f>
        <v>0</v>
      </c>
      <c r="BW616" s="354">
        <f>IF(BW618=0,0,(BW617*BW618+BW619*BW620*6)/BW618)</f>
        <v>0</v>
      </c>
      <c r="BX616" s="353">
        <f>IF(BV616=0,0,(BW616-BV616)/BV616*100)</f>
        <v>0</v>
      </c>
      <c r="BY616" s="354">
        <f>IF(BY618=0,0,(BY617*BY618+BY619*BY620*6)/BY618)</f>
        <v>0</v>
      </c>
      <c r="BZ616" s="354">
        <f>IF(BZ618=0,0,(BZ617*BZ618+BZ619*BZ620*6)/BZ618)</f>
        <v>0</v>
      </c>
      <c r="CA616" s="353">
        <f>IF(BY616=0,0,(BZ616-BY616)/BY616*100)</f>
        <v>0</v>
      </c>
      <c r="CB616" s="354">
        <f>IF(CB618=0,0,(CB617*CB618+CB619*CB620*6)/CB618)</f>
        <v>0</v>
      </c>
      <c r="CC616" s="354">
        <f>IF(CC618=0,0,(CC617*CC618+CC619*CC620*6)/CC618)</f>
        <v>0</v>
      </c>
      <c r="CD616" s="353">
        <f>IF(CB616=0,0,(CC616-CB616)/CB616*100)</f>
        <v>0</v>
      </c>
      <c r="CE616" s="354">
        <f>IF(CE618=0,0,(CE617*CE618+CE619*CE620*6)/CE618)</f>
        <v>0</v>
      </c>
      <c r="CF616" s="354">
        <f>IF(CF618=0,0,(CF617*CF618+CF619*CF620*6)/CF618)</f>
        <v>0</v>
      </c>
      <c r="CG616" s="353">
        <f>IF(CE616=0,0,(CF616-CE616)/CE616*100)</f>
        <v>0</v>
      </c>
      <c r="CH616" s="354">
        <f>IF(CH618=0,0,(CH617*CH618+CH619*CH620*6)/CH618)</f>
        <v>0</v>
      </c>
      <c r="CI616" s="354">
        <f>IF(CI618=0,0,(CI617*CI618+CI619*CI620*6)/CI618)</f>
        <v>0</v>
      </c>
      <c r="CJ616" s="353">
        <f>IF(CH616=0,0,(CI616-CH616)/CH616*100)</f>
        <v>0</v>
      </c>
      <c r="CK616" s="354">
        <f>IF(CK618=0,0,(CK617*CK618+CK619*CK620*6)/CK618)</f>
        <v>0</v>
      </c>
      <c r="CL616" s="354">
        <f>IF(CL618=0,0,(CL617*CL618+CL619*CL620*6)/CL618)</f>
        <v>0</v>
      </c>
      <c r="CM616" s="353">
        <f>IF(CK616=0,0,(CL616-CK616)/CK616*100)</f>
        <v>0</v>
      </c>
      <c r="CN616" s="354">
        <f>IF(CN618=0,0,(CN617*CN618+CN619*CN620*6)/CN618)</f>
        <v>0</v>
      </c>
      <c r="CO616" s="354">
        <f>IF(CO618=0,0,(CO617*CO618+CO619*CO620*6)/CO618)</f>
        <v>0</v>
      </c>
      <c r="CP616" s="353">
        <f>IF(CN616=0,0,(CO616-CN616)/CN616*100)</f>
        <v>0</v>
      </c>
      <c r="CQ616" s="354">
        <f>IF(CQ618=0,0,(CQ617*CQ618+CQ619*CQ620*6)/CQ618)</f>
        <v>0</v>
      </c>
      <c r="CR616" s="354">
        <f>IF(CR618=0,0,(CR617*CR618+CR619*CR620*6)/CR618)</f>
        <v>0</v>
      </c>
      <c r="CS616" s="353">
        <f>IF(CQ616=0,0,(CR616-CQ616)/CQ616*100)</f>
        <v>0</v>
      </c>
      <c r="CT616" s="354">
        <f>IF(CT618=0,0,(CT617*CT618+CT619*CT620*6)/CT618)</f>
        <v>0</v>
      </c>
      <c r="CU616" s="354">
        <f>IF(CU618=0,0,(CU617*CU618+CU619*CU620*6)/CU618)</f>
        <v>0</v>
      </c>
      <c r="CV616" s="353">
        <f>IF(CT616=0,0,(CU616-CT616)/CT616*100)</f>
        <v>0</v>
      </c>
      <c r="CW616" s="354">
        <f>IF(CW618=0,0,(CW617*CW618+CW619*CW620*6)/CW618)</f>
        <v>0</v>
      </c>
      <c r="CX616" s="354">
        <f>IF(CX618=0,0,(CX617*CX618+CX619*CX620*6)/CX618)</f>
        <v>0</v>
      </c>
      <c r="CY616" s="353">
        <f>IF(CW616=0,0,(CX616-CW616)/CW616*100)</f>
        <v>0</v>
      </c>
      <c r="CZ616" s="354">
        <f>IF(CZ618=0,0,(CZ617*CZ618+CZ619*CZ620*6)/CZ618)</f>
        <v>0</v>
      </c>
      <c r="DA616" s="354">
        <f>IF(DA618=0,0,(DA617*DA618+DA619*DA620*6)/DA618)</f>
        <v>0</v>
      </c>
      <c r="DB616" s="353">
        <f>IF(CZ616=0,0,(DA616-CZ616)/CZ616*100)</f>
        <v>0</v>
      </c>
      <c r="DC616" s="354">
        <f>IF(DC618=0,0,(DC617*DC618+DC619*DC620*6)/DC618)</f>
        <v>0</v>
      </c>
      <c r="DD616" s="354">
        <f>IF(DD618=0,0,(DD617*DD618+DD619*DD620*6)/DD618)</f>
        <v>0</v>
      </c>
      <c r="DE616" s="353">
        <f>IF(DC616=0,0,(DD616-DC616)/DC616*100)</f>
        <v>0</v>
      </c>
      <c r="DF616" s="354">
        <f>IF(DF618=0,0,(DF617*DF618+DF619*DF620*6)/DF618)</f>
        <v>0</v>
      </c>
      <c r="DG616" s="354">
        <f>IF(DG618=0,0,(DG617*DG618+DG619*DG620*6)/DG618)</f>
        <v>0</v>
      </c>
      <c r="DH616" s="353">
        <f>IF(DF616=0,0,(DG616-DF616)/DF616*100)</f>
        <v>0</v>
      </c>
      <c r="DI616" s="354">
        <f>IF(DI618=0,0,(DI617*DI618+DI619*DI620*6)/DI618)</f>
        <v>0</v>
      </c>
      <c r="DJ616" s="354">
        <f>IF(DJ618=0,0,(DJ617*DJ618+DJ619*DJ620*6)/DJ618)</f>
        <v>0</v>
      </c>
      <c r="DK616" s="353">
        <f>IF(DI616=0,0,(DJ616-DI616)/DI616*100)</f>
        <v>0</v>
      </c>
      <c r="DL616" s="354">
        <f>IF(DL618=0,0,(DL617*DL618+DL619*DL620*6)/DL618)</f>
        <v>0</v>
      </c>
      <c r="DM616" s="354">
        <f>IF(DM618=0,0,(DM617*DM618+DM619*DM620*6)/DM618)</f>
        <v>0</v>
      </c>
      <c r="DN616" s="353">
        <f>IF(DL616=0,0,(DM616-DL616)/DL616*100)</f>
        <v>0</v>
      </c>
      <c r="DO616" s="354">
        <f>IF(DO618=0,0,(DO617*DO618+DO619*DO620*6)/DO618)</f>
        <v>0</v>
      </c>
      <c r="DP616" s="354">
        <f>IF(DP618=0,0,(DP617*DP618+DP619*DP620*6)/DP618)</f>
        <v>0</v>
      </c>
      <c r="DQ616" s="353">
        <f>IF(DO616=0,0,(DP616-DO616)/DO616*100)</f>
        <v>0</v>
      </c>
      <c r="DR616" s="354">
        <f>IF(DR618=0,0,(DR617*DR618+DR619*DR620*6)/DR618)</f>
        <v>0</v>
      </c>
      <c r="DS616" s="354">
        <f>IF(DS618=0,0,(DS617*DS618+DS619*DS620*6)/DS618)</f>
        <v>0</v>
      </c>
      <c r="DT616" s="353">
        <f>IF(DR616=0,0,(DS616-DR616)/DR616*100)</f>
        <v>0</v>
      </c>
      <c r="DU616" s="354">
        <f>IF(DU618=0,0,(DU617*DU618+DU619*DU620*6)/DU618)</f>
        <v>0</v>
      </c>
      <c r="DV616" s="354">
        <f>IF(DV618=0,0,(DV617*DV618+DV619*DV620*6)/DV618)</f>
        <v>0</v>
      </c>
      <c r="DW616" s="353">
        <f>IF(DU616=0,0,(DV616-DU616)/DU616*100)</f>
        <v>0</v>
      </c>
      <c r="DX616" s="354">
        <f>IF(DX618=0,0,(DX617*DX618+DX619*DX620*6)/DX618)</f>
        <v>0</v>
      </c>
      <c r="DY616" s="354">
        <f>IF(DY618=0,0,(DY617*DY618+DY619*DY620*6)/DY618)</f>
        <v>0</v>
      </c>
      <c r="DZ616" s="353">
        <f>IF(DX616=0,0,(DY616-DX616)/DX616*100)</f>
        <v>0</v>
      </c>
      <c r="EA616" s="354">
        <f>IF(EA618=0,0,(EA617*EA618+EA619*EA620*6)/EA618)</f>
        <v>0</v>
      </c>
      <c r="EB616" s="354">
        <f>IF(EB618=0,0,(EB617*EB618+EB619*EB620*6)/EB618)</f>
        <v>0</v>
      </c>
      <c r="EC616" s="353">
        <f>IF(EA616=0,0,(EB616-EA616)/EA616*100)</f>
        <v>0</v>
      </c>
      <c r="ED616" s="354">
        <f>IF(ED618=0,0,(ED617*ED618+ED619*ED620*6)/ED618)</f>
        <v>0</v>
      </c>
      <c r="EE616" s="354">
        <f>IF(EE618=0,0,(EE617*EE618+EE619*EE620*6)/EE618)</f>
        <v>0</v>
      </c>
      <c r="EF616" s="353">
        <f>IF(ED616=0,0,(EE616-ED616)/ED616*100)</f>
        <v>0</v>
      </c>
      <c r="EG616" s="354">
        <f>IF(EG618=0,0,(EG617*EG618+EG619*EG620*6)/EG618)</f>
        <v>0</v>
      </c>
      <c r="EH616" s="354">
        <f>IF(EH618=0,0,(EH617*EH618+EH619*EH620*6)/EH618)</f>
        <v>0</v>
      </c>
      <c r="EI616" s="353">
        <f>IF(EG616=0,0,(EH616-EG616)/EG616*100)</f>
        <v>0</v>
      </c>
      <c r="EJ616" s="354">
        <f>IF(EJ618=0,0,(EJ617*EJ618+EJ619*EJ620*6)/EJ618)</f>
        <v>0</v>
      </c>
      <c r="EK616" s="354">
        <f>IF(EK618=0,0,(EK617*EK618+EK619*EK620*6)/EK618)</f>
        <v>0</v>
      </c>
      <c r="EL616" s="353">
        <f>IF(EJ616=0,0,(EK616-EJ616)/EJ616*100)</f>
        <v>0</v>
      </c>
      <c r="EM616" s="354">
        <f>IF(EM618=0,0,(EM617*EM618+EM619*EM620*6)/EM618)</f>
        <v>0</v>
      </c>
      <c r="EN616" s="354">
        <f>IF(EN618=0,0,(EN617*EN618+EN619*EN620*6)/EN618)</f>
        <v>0</v>
      </c>
      <c r="EO616" s="353">
        <f>IF(EM616=0,0,(EN616-EM616)/EM616*100)</f>
        <v>0</v>
      </c>
      <c r="EP616" s="354">
        <f>IF(EP618=0,0,(EP617*EP618+EP619*EP620*6)/EP618)</f>
        <v>0</v>
      </c>
      <c r="EQ616" s="354">
        <f>IF(EQ618=0,0,(EQ617*EQ618+EQ619*EQ620*6)/EQ618)</f>
        <v>0</v>
      </c>
      <c r="ER616" s="353">
        <f>IF(EP616=0,0,(EQ616-EP616)/EP616*100)</f>
        <v>0</v>
      </c>
      <c r="ES616" s="354">
        <f>IF(ES618=0,0,(ES617*ES618+ES619*ES620*6)/ES618)</f>
        <v>0</v>
      </c>
      <c r="ET616" s="354">
        <f>IF(ET618=0,0,(ET617*ET618+ET619*ET620*6)/ET618)</f>
        <v>0</v>
      </c>
      <c r="EU616" s="353">
        <f>IF(ES616=0,0,(ET616-ES616)/ES616*100)</f>
        <v>0</v>
      </c>
      <c r="EV616" s="354">
        <f>IF(EV618=0,0,(EV617*EV618+EV619*EV620*6)/EV618)</f>
        <v>0</v>
      </c>
      <c r="EW616" s="354">
        <f>IF(EW618=0,0,(EW617*EW618+EW619*EW620*6)/EW618)</f>
        <v>0</v>
      </c>
      <c r="EX616" s="353">
        <f>IF(EV616=0,0,(EW616-EV616)/EV616*100)</f>
        <v>0</v>
      </c>
      <c r="EY616" s="354">
        <f>IF(EY618=0,0,(EY617*EY618+EY619*EY620*6)/EY618)</f>
        <v>0</v>
      </c>
      <c r="EZ616" s="354">
        <f>IF(EZ618=0,0,(EZ617*EZ618+EZ619*EZ620*6)/EZ618)</f>
        <v>0</v>
      </c>
      <c r="FA616" s="353">
        <f>IF(EY616=0,0,(EZ616-EY616)/EY616*100)</f>
        <v>0</v>
      </c>
      <c r="FB616" s="354">
        <f>IF(FB618=0,0,(FB617*FB618+FB619*FB620*6)/FB618)</f>
        <v>0</v>
      </c>
      <c r="FC616" s="354">
        <f>IF(FC618=0,0,(FC617*FC618+FC619*FC620*6)/FC618)</f>
        <v>0</v>
      </c>
      <c r="FD616" s="353">
        <f>IF(FB616=0,0,(FC616-FB616)/FB616*100)</f>
        <v>0</v>
      </c>
      <c r="FE616" s="354">
        <f>IF(FE618=0,0,(FE617*FE618+FE619*FE620*6)/FE618)</f>
        <v>0</v>
      </c>
      <c r="FF616" s="354">
        <f>IF(FF618=0,0,(FF617*FF618+FF619*FF620*6)/FF618)</f>
        <v>0</v>
      </c>
      <c r="FG616" s="353">
        <f>IF(FE616=0,0,(FF616-FE616)/FE616*100)</f>
        <v>0</v>
      </c>
    </row>
    <row r="617" spans="1:163" s="509" customFormat="1" ht="15" customHeight="1" outlineLevel="1">
      <c r="A617" s="509" t="str">
        <f t="shared" si="127"/>
        <v>1</v>
      </c>
      <c r="C617" s="509" t="s">
        <v>1441</v>
      </c>
      <c r="D617" s="509" t="s">
        <v>1607</v>
      </c>
      <c r="G617" s="509" t="b">
        <f>F582="двухставочный"</f>
        <v>0</v>
      </c>
      <c r="L617" s="356" t="s">
        <v>669</v>
      </c>
      <c r="M617" s="499" t="s">
        <v>655</v>
      </c>
      <c r="N617" s="354"/>
      <c r="O617" s="354"/>
      <c r="P617" s="353">
        <f>IF(N617=0,0,(O617-N617)/N617*100)</f>
        <v>0</v>
      </c>
      <c r="Q617" s="354"/>
      <c r="R617" s="354"/>
      <c r="S617" s="353">
        <f>IF(Q617=0,0,(R617-Q617)/Q617*100)</f>
        <v>0</v>
      </c>
      <c r="T617" s="354"/>
      <c r="U617" s="354"/>
      <c r="V617" s="353">
        <f>IF(T617=0,0,(U617-T617)/T617*100)</f>
        <v>0</v>
      </c>
      <c r="W617" s="354"/>
      <c r="X617" s="354"/>
      <c r="Y617" s="353">
        <f>IF(W617=0,0,(X617-W617)/W617*100)</f>
        <v>0</v>
      </c>
      <c r="Z617" s="354"/>
      <c r="AA617" s="354"/>
      <c r="AB617" s="353">
        <f>IF(Z617=0,0,(AA617-Z617)/Z617*100)</f>
        <v>0</v>
      </c>
      <c r="AC617" s="354"/>
      <c r="AD617" s="354"/>
      <c r="AE617" s="353">
        <f>IF(AC617=0,0,(AD617-AC617)/AC617*100)</f>
        <v>0</v>
      </c>
      <c r="AF617" s="354"/>
      <c r="AG617" s="354"/>
      <c r="AH617" s="353">
        <f>IF(AF617=0,0,(AG617-AF617)/AF617*100)</f>
        <v>0</v>
      </c>
      <c r="AI617" s="354"/>
      <c r="AJ617" s="354"/>
      <c r="AK617" s="353">
        <f>IF(AI617=0,0,(AJ617-AI617)/AI617*100)</f>
        <v>0</v>
      </c>
      <c r="AL617" s="354"/>
      <c r="AM617" s="354"/>
      <c r="AN617" s="353">
        <f>IF(AL617=0,0,(AM617-AL617)/AL617*100)</f>
        <v>0</v>
      </c>
      <c r="AO617" s="354"/>
      <c r="AP617" s="354"/>
      <c r="AQ617" s="353">
        <f>IF(AO617=0,0,(AP617-AO617)/AO617*100)</f>
        <v>0</v>
      </c>
      <c r="AR617" s="354"/>
      <c r="AS617" s="354"/>
      <c r="AT617" s="353">
        <f>IF(AR617=0,0,(AS617-AR617)/AR617*100)</f>
        <v>0</v>
      </c>
      <c r="AU617" s="354"/>
      <c r="AV617" s="354"/>
      <c r="AW617" s="353">
        <f>IF(AU617=0,0,(AV617-AU617)/AU617*100)</f>
        <v>0</v>
      </c>
      <c r="AX617" s="354"/>
      <c r="AY617" s="354"/>
      <c r="AZ617" s="353">
        <f>IF(AX617=0,0,(AY617-AX617)/AX617*100)</f>
        <v>0</v>
      </c>
      <c r="BA617" s="354"/>
      <c r="BB617" s="354"/>
      <c r="BC617" s="353">
        <f>IF(BA617=0,0,(BB617-BA617)/BA617*100)</f>
        <v>0</v>
      </c>
      <c r="BD617" s="354"/>
      <c r="BE617" s="354"/>
      <c r="BF617" s="353">
        <f>IF(BD617=0,0,(BE617-BD617)/BD617*100)</f>
        <v>0</v>
      </c>
      <c r="BG617" s="354"/>
      <c r="BH617" s="354"/>
      <c r="BI617" s="353">
        <f>IF(BG617=0,0,(BH617-BG617)/BG617*100)</f>
        <v>0</v>
      </c>
      <c r="BJ617" s="354"/>
      <c r="BK617" s="354"/>
      <c r="BL617" s="353">
        <f>IF(BJ617=0,0,(BK617-BJ617)/BJ617*100)</f>
        <v>0</v>
      </c>
      <c r="BM617" s="354"/>
      <c r="BN617" s="354"/>
      <c r="BO617" s="353">
        <f>IF(BM617=0,0,(BN617-BM617)/BM617*100)</f>
        <v>0</v>
      </c>
      <c r="BP617" s="354"/>
      <c r="BQ617" s="354"/>
      <c r="BR617" s="353">
        <f>IF(BP617=0,0,(BQ617-BP617)/BP617*100)</f>
        <v>0</v>
      </c>
      <c r="BS617" s="354"/>
      <c r="BT617" s="354"/>
      <c r="BU617" s="353">
        <f>IF(BS617=0,0,(BT617-BS617)/BS617*100)</f>
        <v>0</v>
      </c>
      <c r="BV617" s="354"/>
      <c r="BW617" s="354"/>
      <c r="BX617" s="353">
        <f>IF(BV617=0,0,(BW617-BV617)/BV617*100)</f>
        <v>0</v>
      </c>
      <c r="BY617" s="354"/>
      <c r="BZ617" s="354"/>
      <c r="CA617" s="353">
        <f>IF(BY617=0,0,(BZ617-BY617)/BY617*100)</f>
        <v>0</v>
      </c>
      <c r="CB617" s="354"/>
      <c r="CC617" s="354"/>
      <c r="CD617" s="353">
        <f>IF(CB617=0,0,(CC617-CB617)/CB617*100)</f>
        <v>0</v>
      </c>
      <c r="CE617" s="354"/>
      <c r="CF617" s="354"/>
      <c r="CG617" s="353">
        <f>IF(CE617=0,0,(CF617-CE617)/CE617*100)</f>
        <v>0</v>
      </c>
      <c r="CH617" s="354"/>
      <c r="CI617" s="354"/>
      <c r="CJ617" s="353">
        <f>IF(CH617=0,0,(CI617-CH617)/CH617*100)</f>
        <v>0</v>
      </c>
      <c r="CK617" s="354"/>
      <c r="CL617" s="354"/>
      <c r="CM617" s="353">
        <f>IF(CK617=0,0,(CL617-CK617)/CK617*100)</f>
        <v>0</v>
      </c>
      <c r="CN617" s="354"/>
      <c r="CO617" s="354"/>
      <c r="CP617" s="353">
        <f>IF(CN617=0,0,(CO617-CN617)/CN617*100)</f>
        <v>0</v>
      </c>
      <c r="CQ617" s="354"/>
      <c r="CR617" s="354"/>
      <c r="CS617" s="353">
        <f>IF(CQ617=0,0,(CR617-CQ617)/CQ617*100)</f>
        <v>0</v>
      </c>
      <c r="CT617" s="354"/>
      <c r="CU617" s="354"/>
      <c r="CV617" s="353">
        <f>IF(CT617=0,0,(CU617-CT617)/CT617*100)</f>
        <v>0</v>
      </c>
      <c r="CW617" s="354"/>
      <c r="CX617" s="354"/>
      <c r="CY617" s="353">
        <f>IF(CW617=0,0,(CX617-CW617)/CW617*100)</f>
        <v>0</v>
      </c>
      <c r="CZ617" s="354"/>
      <c r="DA617" s="354"/>
      <c r="DB617" s="353">
        <f>IF(CZ617=0,0,(DA617-CZ617)/CZ617*100)</f>
        <v>0</v>
      </c>
      <c r="DC617" s="354"/>
      <c r="DD617" s="354"/>
      <c r="DE617" s="353">
        <f>IF(DC617=0,0,(DD617-DC617)/DC617*100)</f>
        <v>0</v>
      </c>
      <c r="DF617" s="354"/>
      <c r="DG617" s="354"/>
      <c r="DH617" s="353">
        <f>IF(DF617=0,0,(DG617-DF617)/DF617*100)</f>
        <v>0</v>
      </c>
      <c r="DI617" s="354"/>
      <c r="DJ617" s="354"/>
      <c r="DK617" s="353">
        <f>IF(DI617=0,0,(DJ617-DI617)/DI617*100)</f>
        <v>0</v>
      </c>
      <c r="DL617" s="354"/>
      <c r="DM617" s="354"/>
      <c r="DN617" s="353">
        <f>IF(DL617=0,0,(DM617-DL617)/DL617*100)</f>
        <v>0</v>
      </c>
      <c r="DO617" s="354"/>
      <c r="DP617" s="354"/>
      <c r="DQ617" s="353">
        <f>IF(DO617=0,0,(DP617-DO617)/DO617*100)</f>
        <v>0</v>
      </c>
      <c r="DR617" s="354"/>
      <c r="DS617" s="354"/>
      <c r="DT617" s="353">
        <f>IF(DR617=0,0,(DS617-DR617)/DR617*100)</f>
        <v>0</v>
      </c>
      <c r="DU617" s="354"/>
      <c r="DV617" s="354"/>
      <c r="DW617" s="353">
        <f>IF(DU617=0,0,(DV617-DU617)/DU617*100)</f>
        <v>0</v>
      </c>
      <c r="DX617" s="354"/>
      <c r="DY617" s="354"/>
      <c r="DZ617" s="353">
        <f>IF(DX617=0,0,(DY617-DX617)/DX617*100)</f>
        <v>0</v>
      </c>
      <c r="EA617" s="354"/>
      <c r="EB617" s="354"/>
      <c r="EC617" s="353">
        <f>IF(EA617=0,0,(EB617-EA617)/EA617*100)</f>
        <v>0</v>
      </c>
      <c r="ED617" s="354"/>
      <c r="EE617" s="354"/>
      <c r="EF617" s="353">
        <f>IF(ED617=0,0,(EE617-ED617)/ED617*100)</f>
        <v>0</v>
      </c>
      <c r="EG617" s="354"/>
      <c r="EH617" s="354"/>
      <c r="EI617" s="353">
        <f>IF(EG617=0,0,(EH617-EG617)/EG617*100)</f>
        <v>0</v>
      </c>
      <c r="EJ617" s="354"/>
      <c r="EK617" s="354"/>
      <c r="EL617" s="353">
        <f>IF(EJ617=0,0,(EK617-EJ617)/EJ617*100)</f>
        <v>0</v>
      </c>
      <c r="EM617" s="354"/>
      <c r="EN617" s="354"/>
      <c r="EO617" s="353">
        <f>IF(EM617=0,0,(EN617-EM617)/EM617*100)</f>
        <v>0</v>
      </c>
      <c r="EP617" s="354"/>
      <c r="EQ617" s="354"/>
      <c r="ER617" s="353">
        <f>IF(EP617=0,0,(EQ617-EP617)/EP617*100)</f>
        <v>0</v>
      </c>
      <c r="ES617" s="354"/>
      <c r="ET617" s="354"/>
      <c r="EU617" s="353">
        <f>IF(ES617=0,0,(ET617-ES617)/ES617*100)</f>
        <v>0</v>
      </c>
      <c r="EV617" s="354"/>
      <c r="EW617" s="354"/>
      <c r="EX617" s="353">
        <f>IF(EV617=0,0,(EW617-EV617)/EV617*100)</f>
        <v>0</v>
      </c>
      <c r="EY617" s="354"/>
      <c r="EZ617" s="354"/>
      <c r="FA617" s="353">
        <f>IF(EY617=0,0,(EZ617-EY617)/EY617*100)</f>
        <v>0</v>
      </c>
      <c r="FB617" s="354"/>
      <c r="FC617" s="354"/>
      <c r="FD617" s="353">
        <f>IF(FB617=0,0,(FC617-FB617)/FB617*100)</f>
        <v>0</v>
      </c>
      <c r="FE617" s="354"/>
      <c r="FF617" s="354"/>
      <c r="FG617" s="353">
        <f>IF(FE617=0,0,(FF617-FE617)/FE617*100)</f>
        <v>0</v>
      </c>
    </row>
    <row r="618" spans="1:163" s="509" customFormat="1" ht="15" customHeight="1" outlineLevel="1">
      <c r="A618" s="509" t="str">
        <f t="shared" si="127"/>
        <v>1</v>
      </c>
      <c r="B618" s="104" t="s">
        <v>1183</v>
      </c>
      <c r="C618" s="509" t="s">
        <v>1568</v>
      </c>
      <c r="D618" s="509" t="s">
        <v>1607</v>
      </c>
      <c r="G618" s="509" t="b">
        <f>F582="двухставочный"</f>
        <v>0</v>
      </c>
      <c r="L618" s="356" t="s">
        <v>670</v>
      </c>
      <c r="M618" s="499" t="s">
        <v>311</v>
      </c>
      <c r="N618" s="493" t="e">
        <f>SUMIFS(INDEX(Калькуляция!$T$15:$AM$266,,MATCH(N$3,Калькуляция!$T$3:$AM$3,0)),Калькуляция!$A$15:$A$266,$A618,Калькуляция!$B$15:$B$266,$B618)</f>
        <v>#N/A</v>
      </c>
      <c r="O618" s="493" t="e">
        <f>SUMIFS(INDEX(Калькуляция!$T$15:$AM$266,,MATCH(O$3,Калькуляция!$T$3:$AM$3,0)),Калькуляция!$A$15:$A$266,$A618,Калькуляция!$B$15:$B$266,$B618)</f>
        <v>#N/A</v>
      </c>
      <c r="P618" s="501" t="e">
        <f>IF(N618=0,0,(O618-N618)/N618*100)</f>
        <v>#N/A</v>
      </c>
      <c r="Q618" s="493" t="e">
        <f>SUMIFS(INDEX(Калькуляция!$T$15:$AM$266,,MATCH(Q$3,Калькуляция!$T$3:$AM$3,0)),Калькуляция!$A$15:$A$266,$A618,Калькуляция!$B$15:$B$266,$B618)</f>
        <v>#N/A</v>
      </c>
      <c r="R618" s="493" t="e">
        <f>SUMIFS(INDEX(Калькуляция!$T$15:$AM$266,,MATCH(R$3,Калькуляция!$T$3:$AM$3,0)),Калькуляция!$A$15:$A$266,$A618,Калькуляция!$B$15:$B$266,$B618)</f>
        <v>#N/A</v>
      </c>
      <c r="S618" s="501" t="e">
        <f>IF(Q618=0,0,(R618-Q618)/Q618*100)</f>
        <v>#N/A</v>
      </c>
      <c r="T618" s="493" t="e">
        <f>SUMIFS(INDEX(Калькуляция!$T$15:$AM$266,,MATCH(T$3,Калькуляция!$T$3:$AM$3,0)),Калькуляция!$A$15:$A$266,$A618,Калькуляция!$B$15:$B$266,$B618)</f>
        <v>#N/A</v>
      </c>
      <c r="U618" s="493" t="e">
        <f>SUMIFS(INDEX(Калькуляция!$T$15:$AM$266,,MATCH(U$3,Калькуляция!$T$3:$AM$3,0)),Калькуляция!$A$15:$A$266,$A618,Калькуляция!$B$15:$B$266,$B618)</f>
        <v>#N/A</v>
      </c>
      <c r="V618" s="501" t="e">
        <f>IF(T618=0,0,(U618-T618)/T618*100)</f>
        <v>#N/A</v>
      </c>
      <c r="W618" s="493" t="e">
        <f>SUMIFS(INDEX(Калькуляция!$T$15:$AM$266,,MATCH(W$3,Калькуляция!$T$3:$AM$3,0)),Калькуляция!$A$15:$A$266,$A618,Калькуляция!$B$15:$B$266,$B618)</f>
        <v>#N/A</v>
      </c>
      <c r="X618" s="493" t="e">
        <f>SUMIFS(INDEX(Калькуляция!$T$15:$AM$266,,MATCH(X$3,Калькуляция!$T$3:$AM$3,0)),Калькуляция!$A$15:$A$266,$A618,Калькуляция!$B$15:$B$266,$B618)</f>
        <v>#N/A</v>
      </c>
      <c r="Y618" s="501" t="e">
        <f>IF(W618=0,0,(X618-W618)/W618*100)</f>
        <v>#N/A</v>
      </c>
      <c r="Z618" s="493" t="e">
        <f>SUMIFS(INDEX(Калькуляция!$T$15:$AM$266,,MATCH(Z$3,Калькуляция!$T$3:$AM$3,0)),Калькуляция!$A$15:$A$266,$A618,Калькуляция!$B$15:$B$266,$B618)</f>
        <v>#N/A</v>
      </c>
      <c r="AA618" s="493" t="e">
        <f>SUMIFS(INDEX(Калькуляция!$T$15:$AM$266,,MATCH(AA$3,Калькуляция!$T$3:$AM$3,0)),Калькуляция!$A$15:$A$266,$A618,Калькуляция!$B$15:$B$266,$B618)</f>
        <v>#N/A</v>
      </c>
      <c r="AB618" s="501" t="e">
        <f>IF(Z618=0,0,(AA618-Z618)/Z618*100)</f>
        <v>#N/A</v>
      </c>
      <c r="AC618" s="493" t="e">
        <f>SUMIFS(INDEX(Калькуляция!$T$15:$AM$266,,MATCH(AC$3,Калькуляция!$T$3:$AM$3,0)),Калькуляция!$A$15:$A$266,$A618,Калькуляция!$B$15:$B$266,$B618)</f>
        <v>#N/A</v>
      </c>
      <c r="AD618" s="493" t="e">
        <f>SUMIFS(INDEX(Калькуляция!$T$15:$AM$266,,MATCH(AD$3,Калькуляция!$T$3:$AM$3,0)),Калькуляция!$A$15:$A$266,$A618,Калькуляция!$B$15:$B$266,$B618)</f>
        <v>#N/A</v>
      </c>
      <c r="AE618" s="501" t="e">
        <f>IF(AC618=0,0,(AD618-AC618)/AC618*100)</f>
        <v>#N/A</v>
      </c>
      <c r="AF618" s="493" t="e">
        <f>SUMIFS(INDEX(Калькуляция!$T$15:$AM$266,,MATCH(AF$3,Калькуляция!$T$3:$AM$3,0)),Калькуляция!$A$15:$A$266,$A618,Калькуляция!$B$15:$B$266,$B618)</f>
        <v>#N/A</v>
      </c>
      <c r="AG618" s="493" t="e">
        <f>SUMIFS(INDEX(Калькуляция!$T$15:$AM$266,,MATCH(AG$3,Калькуляция!$T$3:$AM$3,0)),Калькуляция!$A$15:$A$266,$A618,Калькуляция!$B$15:$B$266,$B618)</f>
        <v>#N/A</v>
      </c>
      <c r="AH618" s="501" t="e">
        <f>IF(AF618=0,0,(AG618-AF618)/AF618*100)</f>
        <v>#N/A</v>
      </c>
      <c r="AI618" s="493" t="e">
        <f>SUMIFS(INDEX(Калькуляция!$T$15:$AM$266,,MATCH(AI$3,Калькуляция!$T$3:$AM$3,0)),Калькуляция!$A$15:$A$266,$A618,Калькуляция!$B$15:$B$266,$B618)</f>
        <v>#N/A</v>
      </c>
      <c r="AJ618" s="493" t="e">
        <f>SUMIFS(INDEX(Калькуляция!$T$15:$AM$266,,MATCH(AJ$3,Калькуляция!$T$3:$AM$3,0)),Калькуляция!$A$15:$A$266,$A618,Калькуляция!$B$15:$B$266,$B618)</f>
        <v>#N/A</v>
      </c>
      <c r="AK618" s="501" t="e">
        <f>IF(AI618=0,0,(AJ618-AI618)/AI618*100)</f>
        <v>#N/A</v>
      </c>
      <c r="AL618" s="493" t="e">
        <f>SUMIFS(INDEX(Калькуляция!$T$15:$AM$266,,MATCH(AL$3,Калькуляция!$T$3:$AM$3,0)),Калькуляция!$A$15:$A$266,$A618,Калькуляция!$B$15:$B$266,$B618)</f>
        <v>#N/A</v>
      </c>
      <c r="AM618" s="493" t="e">
        <f>SUMIFS(INDEX(Калькуляция!$T$15:$AM$266,,MATCH(AM$3,Калькуляция!$T$3:$AM$3,0)),Калькуляция!$A$15:$A$266,$A618,Калькуляция!$B$15:$B$266,$B618)</f>
        <v>#N/A</v>
      </c>
      <c r="AN618" s="501" t="e">
        <f>IF(AL618=0,0,(AM618-AL618)/AL618*100)</f>
        <v>#N/A</v>
      </c>
      <c r="AO618" s="493" t="e">
        <f>SUMIFS(INDEX(Калькуляция!$T$15:$AM$266,,MATCH(AO$3,Калькуляция!$T$3:$AM$3,0)),Калькуляция!$A$15:$A$266,$A618,Калькуляция!$B$15:$B$266,$B618)</f>
        <v>#N/A</v>
      </c>
      <c r="AP618" s="493" t="e">
        <f>SUMIFS(INDEX(Калькуляция!$T$15:$AM$266,,MATCH(AP$3,Калькуляция!$T$3:$AM$3,0)),Калькуляция!$A$15:$A$266,$A618,Калькуляция!$B$15:$B$266,$B618)</f>
        <v>#N/A</v>
      </c>
      <c r="AQ618" s="501" t="e">
        <f>IF(AO618=0,0,(AP618-AO618)/AO618*100)</f>
        <v>#N/A</v>
      </c>
      <c r="AR618" s="493"/>
      <c r="AS618" s="493"/>
      <c r="AT618" s="501">
        <f>IF(AR618=0,0,(AS618-AR618)/AR618*100)</f>
        <v>0</v>
      </c>
      <c r="AU618" s="493"/>
      <c r="AV618" s="493"/>
      <c r="AW618" s="501">
        <f>IF(AU618=0,0,(AV618-AU618)/AU618*100)</f>
        <v>0</v>
      </c>
      <c r="AX618" s="493"/>
      <c r="AY618" s="493"/>
      <c r="AZ618" s="501">
        <f>IF(AX618=0,0,(AY618-AX618)/AX618*100)</f>
        <v>0</v>
      </c>
      <c r="BA618" s="493"/>
      <c r="BB618" s="493"/>
      <c r="BC618" s="501">
        <f>IF(BA618=0,0,(BB618-BA618)/BA618*100)</f>
        <v>0</v>
      </c>
      <c r="BD618" s="493"/>
      <c r="BE618" s="493"/>
      <c r="BF618" s="501">
        <f>IF(BD618=0,0,(BE618-BD618)/BD618*100)</f>
        <v>0</v>
      </c>
      <c r="BG618" s="493"/>
      <c r="BH618" s="493"/>
      <c r="BI618" s="501">
        <f>IF(BG618=0,0,(BH618-BG618)/BG618*100)</f>
        <v>0</v>
      </c>
      <c r="BJ618" s="493"/>
      <c r="BK618" s="493"/>
      <c r="BL618" s="501">
        <f>IF(BJ618=0,0,(BK618-BJ618)/BJ618*100)</f>
        <v>0</v>
      </c>
      <c r="BM618" s="493"/>
      <c r="BN618" s="493"/>
      <c r="BO618" s="501">
        <f>IF(BM618=0,0,(BN618-BM618)/BM618*100)</f>
        <v>0</v>
      </c>
      <c r="BP618" s="493"/>
      <c r="BQ618" s="493"/>
      <c r="BR618" s="501">
        <f>IF(BP618=0,0,(BQ618-BP618)/BP618*100)</f>
        <v>0</v>
      </c>
      <c r="BS618" s="493"/>
      <c r="BT618" s="493"/>
      <c r="BU618" s="501">
        <f>IF(BS618=0,0,(BT618-BS618)/BS618*100)</f>
        <v>0</v>
      </c>
      <c r="BV618" s="493"/>
      <c r="BW618" s="493"/>
      <c r="BX618" s="501">
        <f>IF(BV618=0,0,(BW618-BV618)/BV618*100)</f>
        <v>0</v>
      </c>
      <c r="BY618" s="493"/>
      <c r="BZ618" s="493"/>
      <c r="CA618" s="501">
        <f>IF(BY618=0,0,(BZ618-BY618)/BY618*100)</f>
        <v>0</v>
      </c>
      <c r="CB618" s="493"/>
      <c r="CC618" s="493"/>
      <c r="CD618" s="501">
        <f>IF(CB618=0,0,(CC618-CB618)/CB618*100)</f>
        <v>0</v>
      </c>
      <c r="CE618" s="493"/>
      <c r="CF618" s="493"/>
      <c r="CG618" s="501">
        <f>IF(CE618=0,0,(CF618-CE618)/CE618*100)</f>
        <v>0</v>
      </c>
      <c r="CH618" s="493"/>
      <c r="CI618" s="493"/>
      <c r="CJ618" s="501">
        <f>IF(CH618=0,0,(CI618-CH618)/CH618*100)</f>
        <v>0</v>
      </c>
      <c r="CK618" s="493"/>
      <c r="CL618" s="493"/>
      <c r="CM618" s="501">
        <f>IF(CK618=0,0,(CL618-CK618)/CK618*100)</f>
        <v>0</v>
      </c>
      <c r="CN618" s="493"/>
      <c r="CO618" s="493"/>
      <c r="CP618" s="501">
        <f>IF(CN618=0,0,(CO618-CN618)/CN618*100)</f>
        <v>0</v>
      </c>
      <c r="CQ618" s="493"/>
      <c r="CR618" s="493"/>
      <c r="CS618" s="501">
        <f>IF(CQ618=0,0,(CR618-CQ618)/CQ618*100)</f>
        <v>0</v>
      </c>
      <c r="CT618" s="493"/>
      <c r="CU618" s="493"/>
      <c r="CV618" s="501">
        <f>IF(CT618=0,0,(CU618-CT618)/CT618*100)</f>
        <v>0</v>
      </c>
      <c r="CW618" s="493"/>
      <c r="CX618" s="493"/>
      <c r="CY618" s="501">
        <f>IF(CW618=0,0,(CX618-CW618)/CW618*100)</f>
        <v>0</v>
      </c>
      <c r="CZ618" s="493"/>
      <c r="DA618" s="493"/>
      <c r="DB618" s="501">
        <f>IF(CZ618=0,0,(DA618-CZ618)/CZ618*100)</f>
        <v>0</v>
      </c>
      <c r="DC618" s="493"/>
      <c r="DD618" s="493"/>
      <c r="DE618" s="501">
        <f>IF(DC618=0,0,(DD618-DC618)/DC618*100)</f>
        <v>0</v>
      </c>
      <c r="DF618" s="493"/>
      <c r="DG618" s="493"/>
      <c r="DH618" s="501">
        <f>IF(DF618=0,0,(DG618-DF618)/DF618*100)</f>
        <v>0</v>
      </c>
      <c r="DI618" s="493"/>
      <c r="DJ618" s="493"/>
      <c r="DK618" s="501">
        <f>IF(DI618=0,0,(DJ618-DI618)/DI618*100)</f>
        <v>0</v>
      </c>
      <c r="DL618" s="493"/>
      <c r="DM618" s="493"/>
      <c r="DN618" s="501">
        <f>IF(DL618=0,0,(DM618-DL618)/DL618*100)</f>
        <v>0</v>
      </c>
      <c r="DO618" s="493"/>
      <c r="DP618" s="493"/>
      <c r="DQ618" s="501">
        <f>IF(DO618=0,0,(DP618-DO618)/DO618*100)</f>
        <v>0</v>
      </c>
      <c r="DR618" s="493"/>
      <c r="DS618" s="493"/>
      <c r="DT618" s="501">
        <f>IF(DR618=0,0,(DS618-DR618)/DR618*100)</f>
        <v>0</v>
      </c>
      <c r="DU618" s="493"/>
      <c r="DV618" s="493"/>
      <c r="DW618" s="501">
        <f>IF(DU618=0,0,(DV618-DU618)/DU618*100)</f>
        <v>0</v>
      </c>
      <c r="DX618" s="493"/>
      <c r="DY618" s="493"/>
      <c r="DZ618" s="501">
        <f>IF(DX618=0,0,(DY618-DX618)/DX618*100)</f>
        <v>0</v>
      </c>
      <c r="EA618" s="493"/>
      <c r="EB618" s="493"/>
      <c r="EC618" s="501">
        <f>IF(EA618=0,0,(EB618-EA618)/EA618*100)</f>
        <v>0</v>
      </c>
      <c r="ED618" s="493"/>
      <c r="EE618" s="493"/>
      <c r="EF618" s="501">
        <f>IF(ED618=0,0,(EE618-ED618)/ED618*100)</f>
        <v>0</v>
      </c>
      <c r="EG618" s="493"/>
      <c r="EH618" s="493"/>
      <c r="EI618" s="501">
        <f>IF(EG618=0,0,(EH618-EG618)/EG618*100)</f>
        <v>0</v>
      </c>
      <c r="EJ618" s="493"/>
      <c r="EK618" s="493"/>
      <c r="EL618" s="501">
        <f>IF(EJ618=0,0,(EK618-EJ618)/EJ618*100)</f>
        <v>0</v>
      </c>
      <c r="EM618" s="493"/>
      <c r="EN618" s="493"/>
      <c r="EO618" s="501">
        <f>IF(EM618=0,0,(EN618-EM618)/EM618*100)</f>
        <v>0</v>
      </c>
      <c r="EP618" s="493"/>
      <c r="EQ618" s="493"/>
      <c r="ER618" s="501">
        <f>IF(EP618=0,0,(EQ618-EP618)/EP618*100)</f>
        <v>0</v>
      </c>
      <c r="ES618" s="493"/>
      <c r="ET618" s="493"/>
      <c r="EU618" s="501">
        <f>IF(ES618=0,0,(ET618-ES618)/ES618*100)</f>
        <v>0</v>
      </c>
      <c r="EV618" s="493"/>
      <c r="EW618" s="493"/>
      <c r="EX618" s="501">
        <f>IF(EV618=0,0,(EW618-EV618)/EV618*100)</f>
        <v>0</v>
      </c>
      <c r="EY618" s="493"/>
      <c r="EZ618" s="493"/>
      <c r="FA618" s="501">
        <f>IF(EY618=0,0,(EZ618-EY618)/EY618*100)</f>
        <v>0</v>
      </c>
      <c r="FB618" s="493"/>
      <c r="FC618" s="493"/>
      <c r="FD618" s="501">
        <f>IF(FB618=0,0,(FC618-FB618)/FB618*100)</f>
        <v>0</v>
      </c>
      <c r="FE618" s="493"/>
      <c r="FF618" s="493"/>
      <c r="FG618" s="501">
        <f>IF(FE618=0,0,(FF618-FE618)/FE618*100)</f>
        <v>0</v>
      </c>
    </row>
    <row r="619" spans="1:163" s="509" customFormat="1" ht="24.75" customHeight="1" outlineLevel="1">
      <c r="A619" s="509" t="str">
        <f t="shared" si="127"/>
        <v>1</v>
      </c>
      <c r="C619" s="509" t="s">
        <v>1569</v>
      </c>
      <c r="D619" s="509" t="s">
        <v>1607</v>
      </c>
      <c r="G619" s="509" t="b">
        <f>F582="двухставочный"</f>
        <v>0</v>
      </c>
      <c r="L619" s="356" t="s">
        <v>671</v>
      </c>
      <c r="M619" s="499" t="s">
        <v>672</v>
      </c>
      <c r="N619" s="354"/>
      <c r="O619" s="354"/>
      <c r="P619" s="353">
        <f>IF(N619=0,0,(O619-N619)/N619*100)</f>
        <v>0</v>
      </c>
      <c r="Q619" s="354"/>
      <c r="R619" s="354"/>
      <c r="S619" s="353">
        <f>IF(Q619=0,0,(R619-Q619)/Q619*100)</f>
        <v>0</v>
      </c>
      <c r="T619" s="354"/>
      <c r="U619" s="354"/>
      <c r="V619" s="353">
        <f>IF(T619=0,0,(U619-T619)/T619*100)</f>
        <v>0</v>
      </c>
      <c r="W619" s="354"/>
      <c r="X619" s="354"/>
      <c r="Y619" s="353">
        <f>IF(W619=0,0,(X619-W619)/W619*100)</f>
        <v>0</v>
      </c>
      <c r="Z619" s="354"/>
      <c r="AA619" s="354"/>
      <c r="AB619" s="353">
        <f>IF(Z619=0,0,(AA619-Z619)/Z619*100)</f>
        <v>0</v>
      </c>
      <c r="AC619" s="354"/>
      <c r="AD619" s="354"/>
      <c r="AE619" s="353">
        <f>IF(AC619=0,0,(AD619-AC619)/AC619*100)</f>
        <v>0</v>
      </c>
      <c r="AF619" s="354"/>
      <c r="AG619" s="354"/>
      <c r="AH619" s="353">
        <f>IF(AF619=0,0,(AG619-AF619)/AF619*100)</f>
        <v>0</v>
      </c>
      <c r="AI619" s="354"/>
      <c r="AJ619" s="354"/>
      <c r="AK619" s="353">
        <f>IF(AI619=0,0,(AJ619-AI619)/AI619*100)</f>
        <v>0</v>
      </c>
      <c r="AL619" s="354"/>
      <c r="AM619" s="354"/>
      <c r="AN619" s="353">
        <f>IF(AL619=0,0,(AM619-AL619)/AL619*100)</f>
        <v>0</v>
      </c>
      <c r="AO619" s="354"/>
      <c r="AP619" s="354"/>
      <c r="AQ619" s="353">
        <f>IF(AO619=0,0,(AP619-AO619)/AO619*100)</f>
        <v>0</v>
      </c>
      <c r="AR619" s="354"/>
      <c r="AS619" s="354"/>
      <c r="AT619" s="353">
        <f>IF(AR619=0,0,(AS619-AR619)/AR619*100)</f>
        <v>0</v>
      </c>
      <c r="AU619" s="354"/>
      <c r="AV619" s="354"/>
      <c r="AW619" s="353">
        <f>IF(AU619=0,0,(AV619-AU619)/AU619*100)</f>
        <v>0</v>
      </c>
      <c r="AX619" s="354"/>
      <c r="AY619" s="354"/>
      <c r="AZ619" s="353">
        <f>IF(AX619=0,0,(AY619-AX619)/AX619*100)</f>
        <v>0</v>
      </c>
      <c r="BA619" s="354"/>
      <c r="BB619" s="354"/>
      <c r="BC619" s="353">
        <f>IF(BA619=0,0,(BB619-BA619)/BA619*100)</f>
        <v>0</v>
      </c>
      <c r="BD619" s="354"/>
      <c r="BE619" s="354"/>
      <c r="BF619" s="353">
        <f>IF(BD619=0,0,(BE619-BD619)/BD619*100)</f>
        <v>0</v>
      </c>
      <c r="BG619" s="354"/>
      <c r="BH619" s="354"/>
      <c r="BI619" s="353">
        <f>IF(BG619=0,0,(BH619-BG619)/BG619*100)</f>
        <v>0</v>
      </c>
      <c r="BJ619" s="354"/>
      <c r="BK619" s="354"/>
      <c r="BL619" s="353">
        <f>IF(BJ619=0,0,(BK619-BJ619)/BJ619*100)</f>
        <v>0</v>
      </c>
      <c r="BM619" s="354"/>
      <c r="BN619" s="354"/>
      <c r="BO619" s="353">
        <f>IF(BM619=0,0,(BN619-BM619)/BM619*100)</f>
        <v>0</v>
      </c>
      <c r="BP619" s="354"/>
      <c r="BQ619" s="354"/>
      <c r="BR619" s="353">
        <f>IF(BP619=0,0,(BQ619-BP619)/BP619*100)</f>
        <v>0</v>
      </c>
      <c r="BS619" s="354"/>
      <c r="BT619" s="354"/>
      <c r="BU619" s="353">
        <f>IF(BS619=0,0,(BT619-BS619)/BS619*100)</f>
        <v>0</v>
      </c>
      <c r="BV619" s="354"/>
      <c r="BW619" s="354"/>
      <c r="BX619" s="353">
        <f>IF(BV619=0,0,(BW619-BV619)/BV619*100)</f>
        <v>0</v>
      </c>
      <c r="BY619" s="354"/>
      <c r="BZ619" s="354"/>
      <c r="CA619" s="353">
        <f>IF(BY619=0,0,(BZ619-BY619)/BY619*100)</f>
        <v>0</v>
      </c>
      <c r="CB619" s="354"/>
      <c r="CC619" s="354"/>
      <c r="CD619" s="353">
        <f>IF(CB619=0,0,(CC619-CB619)/CB619*100)</f>
        <v>0</v>
      </c>
      <c r="CE619" s="354"/>
      <c r="CF619" s="354"/>
      <c r="CG619" s="353">
        <f>IF(CE619=0,0,(CF619-CE619)/CE619*100)</f>
        <v>0</v>
      </c>
      <c r="CH619" s="354"/>
      <c r="CI619" s="354"/>
      <c r="CJ619" s="353">
        <f>IF(CH619=0,0,(CI619-CH619)/CH619*100)</f>
        <v>0</v>
      </c>
      <c r="CK619" s="354"/>
      <c r="CL619" s="354"/>
      <c r="CM619" s="353">
        <f>IF(CK619=0,0,(CL619-CK619)/CK619*100)</f>
        <v>0</v>
      </c>
      <c r="CN619" s="354"/>
      <c r="CO619" s="354"/>
      <c r="CP619" s="353">
        <f>IF(CN619=0,0,(CO619-CN619)/CN619*100)</f>
        <v>0</v>
      </c>
      <c r="CQ619" s="354"/>
      <c r="CR619" s="354"/>
      <c r="CS619" s="353">
        <f>IF(CQ619=0,0,(CR619-CQ619)/CQ619*100)</f>
        <v>0</v>
      </c>
      <c r="CT619" s="354"/>
      <c r="CU619" s="354"/>
      <c r="CV619" s="353">
        <f>IF(CT619=0,0,(CU619-CT619)/CT619*100)</f>
        <v>0</v>
      </c>
      <c r="CW619" s="354"/>
      <c r="CX619" s="354"/>
      <c r="CY619" s="353">
        <f>IF(CW619=0,0,(CX619-CW619)/CW619*100)</f>
        <v>0</v>
      </c>
      <c r="CZ619" s="354"/>
      <c r="DA619" s="354"/>
      <c r="DB619" s="353">
        <f>IF(CZ619=0,0,(DA619-CZ619)/CZ619*100)</f>
        <v>0</v>
      </c>
      <c r="DC619" s="354"/>
      <c r="DD619" s="354"/>
      <c r="DE619" s="353">
        <f>IF(DC619=0,0,(DD619-DC619)/DC619*100)</f>
        <v>0</v>
      </c>
      <c r="DF619" s="354"/>
      <c r="DG619" s="354"/>
      <c r="DH619" s="353">
        <f>IF(DF619=0,0,(DG619-DF619)/DF619*100)</f>
        <v>0</v>
      </c>
      <c r="DI619" s="354"/>
      <c r="DJ619" s="354"/>
      <c r="DK619" s="353">
        <f>IF(DI619=0,0,(DJ619-DI619)/DI619*100)</f>
        <v>0</v>
      </c>
      <c r="DL619" s="354"/>
      <c r="DM619" s="354"/>
      <c r="DN619" s="353">
        <f>IF(DL619=0,0,(DM619-DL619)/DL619*100)</f>
        <v>0</v>
      </c>
      <c r="DO619" s="354"/>
      <c r="DP619" s="354"/>
      <c r="DQ619" s="353">
        <f>IF(DO619=0,0,(DP619-DO619)/DO619*100)</f>
        <v>0</v>
      </c>
      <c r="DR619" s="354"/>
      <c r="DS619" s="354"/>
      <c r="DT619" s="353">
        <f>IF(DR619=0,0,(DS619-DR619)/DR619*100)</f>
        <v>0</v>
      </c>
      <c r="DU619" s="354"/>
      <c r="DV619" s="354"/>
      <c r="DW619" s="353">
        <f>IF(DU619=0,0,(DV619-DU619)/DU619*100)</f>
        <v>0</v>
      </c>
      <c r="DX619" s="354"/>
      <c r="DY619" s="354"/>
      <c r="DZ619" s="353">
        <f>IF(DX619=0,0,(DY619-DX619)/DX619*100)</f>
        <v>0</v>
      </c>
      <c r="EA619" s="354"/>
      <c r="EB619" s="354"/>
      <c r="EC619" s="353">
        <f>IF(EA619=0,0,(EB619-EA619)/EA619*100)</f>
        <v>0</v>
      </c>
      <c r="ED619" s="354"/>
      <c r="EE619" s="354"/>
      <c r="EF619" s="353">
        <f>IF(ED619=0,0,(EE619-ED619)/ED619*100)</f>
        <v>0</v>
      </c>
      <c r="EG619" s="354"/>
      <c r="EH619" s="354"/>
      <c r="EI619" s="353">
        <f>IF(EG619=0,0,(EH619-EG619)/EG619*100)</f>
        <v>0</v>
      </c>
      <c r="EJ619" s="354"/>
      <c r="EK619" s="354"/>
      <c r="EL619" s="353">
        <f>IF(EJ619=0,0,(EK619-EJ619)/EJ619*100)</f>
        <v>0</v>
      </c>
      <c r="EM619" s="354"/>
      <c r="EN619" s="354"/>
      <c r="EO619" s="353">
        <f>IF(EM619=0,0,(EN619-EM619)/EM619*100)</f>
        <v>0</v>
      </c>
      <c r="EP619" s="354"/>
      <c r="EQ619" s="354"/>
      <c r="ER619" s="353">
        <f>IF(EP619=0,0,(EQ619-EP619)/EP619*100)</f>
        <v>0</v>
      </c>
      <c r="ES619" s="354"/>
      <c r="ET619" s="354"/>
      <c r="EU619" s="353">
        <f>IF(ES619=0,0,(ET619-ES619)/ES619*100)</f>
        <v>0</v>
      </c>
      <c r="EV619" s="354"/>
      <c r="EW619" s="354"/>
      <c r="EX619" s="353">
        <f>IF(EV619=0,0,(EW619-EV619)/EV619*100)</f>
        <v>0</v>
      </c>
      <c r="EY619" s="354"/>
      <c r="EZ619" s="354"/>
      <c r="FA619" s="353">
        <f>IF(EY619=0,0,(EZ619-EY619)/EY619*100)</f>
        <v>0</v>
      </c>
      <c r="FB619" s="354"/>
      <c r="FC619" s="354"/>
      <c r="FD619" s="353">
        <f>IF(FB619=0,0,(FC619-FB619)/FB619*100)</f>
        <v>0</v>
      </c>
      <c r="FE619" s="354"/>
      <c r="FF619" s="354"/>
      <c r="FG619" s="353">
        <f>IF(FE619=0,0,(FF619-FE619)/FE619*100)</f>
        <v>0</v>
      </c>
    </row>
    <row r="620" spans="1:163" s="509" customFormat="1" ht="15" customHeight="1" outlineLevel="1">
      <c r="A620" s="509" t="str">
        <f t="shared" si="127"/>
        <v>1</v>
      </c>
      <c r="C620" s="509" t="s">
        <v>1570</v>
      </c>
      <c r="D620" s="509" t="s">
        <v>1607</v>
      </c>
      <c r="G620" s="509" t="b">
        <f>F582="двухставочный"</f>
        <v>0</v>
      </c>
      <c r="L620" s="356" t="s">
        <v>673</v>
      </c>
      <c r="M620" s="499" t="s">
        <v>674</v>
      </c>
      <c r="N620" s="354"/>
      <c r="O620" s="354"/>
      <c r="P620" s="353">
        <f>IF(N620=0,0,(O620-N620)/N620*100)</f>
        <v>0</v>
      </c>
      <c r="Q620" s="354"/>
      <c r="R620" s="354"/>
      <c r="S620" s="353">
        <f>IF(Q620=0,0,(R620-Q620)/Q620*100)</f>
        <v>0</v>
      </c>
      <c r="T620" s="354"/>
      <c r="U620" s="354"/>
      <c r="V620" s="353">
        <f>IF(T620=0,0,(U620-T620)/T620*100)</f>
        <v>0</v>
      </c>
      <c r="W620" s="354"/>
      <c r="X620" s="354"/>
      <c r="Y620" s="353">
        <f>IF(W620=0,0,(X620-W620)/W620*100)</f>
        <v>0</v>
      </c>
      <c r="Z620" s="354"/>
      <c r="AA620" s="354"/>
      <c r="AB620" s="353">
        <f>IF(Z620=0,0,(AA620-Z620)/Z620*100)</f>
        <v>0</v>
      </c>
      <c r="AC620" s="354"/>
      <c r="AD620" s="354"/>
      <c r="AE620" s="353">
        <f>IF(AC620=0,0,(AD620-AC620)/AC620*100)</f>
        <v>0</v>
      </c>
      <c r="AF620" s="354"/>
      <c r="AG620" s="354"/>
      <c r="AH620" s="353">
        <f>IF(AF620=0,0,(AG620-AF620)/AF620*100)</f>
        <v>0</v>
      </c>
      <c r="AI620" s="354"/>
      <c r="AJ620" s="354"/>
      <c r="AK620" s="353">
        <f>IF(AI620=0,0,(AJ620-AI620)/AI620*100)</f>
        <v>0</v>
      </c>
      <c r="AL620" s="354"/>
      <c r="AM620" s="354"/>
      <c r="AN620" s="353">
        <f>IF(AL620=0,0,(AM620-AL620)/AL620*100)</f>
        <v>0</v>
      </c>
      <c r="AO620" s="354"/>
      <c r="AP620" s="354"/>
      <c r="AQ620" s="353">
        <f>IF(AO620=0,0,(AP620-AO620)/AO620*100)</f>
        <v>0</v>
      </c>
      <c r="AR620" s="354"/>
      <c r="AS620" s="354"/>
      <c r="AT620" s="353">
        <f>IF(AR620=0,0,(AS620-AR620)/AR620*100)</f>
        <v>0</v>
      </c>
      <c r="AU620" s="354"/>
      <c r="AV620" s="354"/>
      <c r="AW620" s="353">
        <f>IF(AU620=0,0,(AV620-AU620)/AU620*100)</f>
        <v>0</v>
      </c>
      <c r="AX620" s="354"/>
      <c r="AY620" s="354"/>
      <c r="AZ620" s="353">
        <f>IF(AX620=0,0,(AY620-AX620)/AX620*100)</f>
        <v>0</v>
      </c>
      <c r="BA620" s="354"/>
      <c r="BB620" s="354"/>
      <c r="BC620" s="353">
        <f>IF(BA620=0,0,(BB620-BA620)/BA620*100)</f>
        <v>0</v>
      </c>
      <c r="BD620" s="354"/>
      <c r="BE620" s="354"/>
      <c r="BF620" s="353">
        <f>IF(BD620=0,0,(BE620-BD620)/BD620*100)</f>
        <v>0</v>
      </c>
      <c r="BG620" s="354"/>
      <c r="BH620" s="354"/>
      <c r="BI620" s="353">
        <f>IF(BG620=0,0,(BH620-BG620)/BG620*100)</f>
        <v>0</v>
      </c>
      <c r="BJ620" s="354"/>
      <c r="BK620" s="354"/>
      <c r="BL620" s="353">
        <f>IF(BJ620=0,0,(BK620-BJ620)/BJ620*100)</f>
        <v>0</v>
      </c>
      <c r="BM620" s="354"/>
      <c r="BN620" s="354"/>
      <c r="BO620" s="353">
        <f>IF(BM620=0,0,(BN620-BM620)/BM620*100)</f>
        <v>0</v>
      </c>
      <c r="BP620" s="354"/>
      <c r="BQ620" s="354"/>
      <c r="BR620" s="353">
        <f>IF(BP620=0,0,(BQ620-BP620)/BP620*100)</f>
        <v>0</v>
      </c>
      <c r="BS620" s="354"/>
      <c r="BT620" s="354"/>
      <c r="BU620" s="353">
        <f>IF(BS620=0,0,(BT620-BS620)/BS620*100)</f>
        <v>0</v>
      </c>
      <c r="BV620" s="354"/>
      <c r="BW620" s="354"/>
      <c r="BX620" s="353">
        <f>IF(BV620=0,0,(BW620-BV620)/BV620*100)</f>
        <v>0</v>
      </c>
      <c r="BY620" s="354"/>
      <c r="BZ620" s="354"/>
      <c r="CA620" s="353">
        <f>IF(BY620=0,0,(BZ620-BY620)/BY620*100)</f>
        <v>0</v>
      </c>
      <c r="CB620" s="354"/>
      <c r="CC620" s="354"/>
      <c r="CD620" s="353">
        <f>IF(CB620=0,0,(CC620-CB620)/CB620*100)</f>
        <v>0</v>
      </c>
      <c r="CE620" s="354"/>
      <c r="CF620" s="354"/>
      <c r="CG620" s="353">
        <f>IF(CE620=0,0,(CF620-CE620)/CE620*100)</f>
        <v>0</v>
      </c>
      <c r="CH620" s="354"/>
      <c r="CI620" s="354"/>
      <c r="CJ620" s="353">
        <f>IF(CH620=0,0,(CI620-CH620)/CH620*100)</f>
        <v>0</v>
      </c>
      <c r="CK620" s="354"/>
      <c r="CL620" s="354"/>
      <c r="CM620" s="353">
        <f>IF(CK620=0,0,(CL620-CK620)/CK620*100)</f>
        <v>0</v>
      </c>
      <c r="CN620" s="354"/>
      <c r="CO620" s="354"/>
      <c r="CP620" s="353">
        <f>IF(CN620=0,0,(CO620-CN620)/CN620*100)</f>
        <v>0</v>
      </c>
      <c r="CQ620" s="354"/>
      <c r="CR620" s="354"/>
      <c r="CS620" s="353">
        <f>IF(CQ620=0,0,(CR620-CQ620)/CQ620*100)</f>
        <v>0</v>
      </c>
      <c r="CT620" s="354"/>
      <c r="CU620" s="354"/>
      <c r="CV620" s="353">
        <f>IF(CT620=0,0,(CU620-CT620)/CT620*100)</f>
        <v>0</v>
      </c>
      <c r="CW620" s="354"/>
      <c r="CX620" s="354"/>
      <c r="CY620" s="353">
        <f>IF(CW620=0,0,(CX620-CW620)/CW620*100)</f>
        <v>0</v>
      </c>
      <c r="CZ620" s="354"/>
      <c r="DA620" s="354"/>
      <c r="DB620" s="353">
        <f>IF(CZ620=0,0,(DA620-CZ620)/CZ620*100)</f>
        <v>0</v>
      </c>
      <c r="DC620" s="354"/>
      <c r="DD620" s="354"/>
      <c r="DE620" s="353">
        <f>IF(DC620=0,0,(DD620-DC620)/DC620*100)</f>
        <v>0</v>
      </c>
      <c r="DF620" s="354"/>
      <c r="DG620" s="354"/>
      <c r="DH620" s="353">
        <f>IF(DF620=0,0,(DG620-DF620)/DF620*100)</f>
        <v>0</v>
      </c>
      <c r="DI620" s="354"/>
      <c r="DJ620" s="354"/>
      <c r="DK620" s="353">
        <f>IF(DI620=0,0,(DJ620-DI620)/DI620*100)</f>
        <v>0</v>
      </c>
      <c r="DL620" s="354"/>
      <c r="DM620" s="354"/>
      <c r="DN620" s="353">
        <f>IF(DL620=0,0,(DM620-DL620)/DL620*100)</f>
        <v>0</v>
      </c>
      <c r="DO620" s="354"/>
      <c r="DP620" s="354"/>
      <c r="DQ620" s="353">
        <f>IF(DO620=0,0,(DP620-DO620)/DO620*100)</f>
        <v>0</v>
      </c>
      <c r="DR620" s="354"/>
      <c r="DS620" s="354"/>
      <c r="DT620" s="353">
        <f>IF(DR620=0,0,(DS620-DR620)/DR620*100)</f>
        <v>0</v>
      </c>
      <c r="DU620" s="354"/>
      <c r="DV620" s="354"/>
      <c r="DW620" s="353">
        <f>IF(DU620=0,0,(DV620-DU620)/DU620*100)</f>
        <v>0</v>
      </c>
      <c r="DX620" s="354"/>
      <c r="DY620" s="354"/>
      <c r="DZ620" s="353">
        <f>IF(DX620=0,0,(DY620-DX620)/DX620*100)</f>
        <v>0</v>
      </c>
      <c r="EA620" s="354"/>
      <c r="EB620" s="354"/>
      <c r="EC620" s="353">
        <f>IF(EA620=0,0,(EB620-EA620)/EA620*100)</f>
        <v>0</v>
      </c>
      <c r="ED620" s="354"/>
      <c r="EE620" s="354"/>
      <c r="EF620" s="353">
        <f>IF(ED620=0,0,(EE620-ED620)/ED620*100)</f>
        <v>0</v>
      </c>
      <c r="EG620" s="354"/>
      <c r="EH620" s="354"/>
      <c r="EI620" s="353">
        <f>IF(EG620=0,0,(EH620-EG620)/EG620*100)</f>
        <v>0</v>
      </c>
      <c r="EJ620" s="354"/>
      <c r="EK620" s="354"/>
      <c r="EL620" s="353">
        <f>IF(EJ620=0,0,(EK620-EJ620)/EJ620*100)</f>
        <v>0</v>
      </c>
      <c r="EM620" s="354"/>
      <c r="EN620" s="354"/>
      <c r="EO620" s="353">
        <f>IF(EM620=0,0,(EN620-EM620)/EM620*100)</f>
        <v>0</v>
      </c>
      <c r="EP620" s="354"/>
      <c r="EQ620" s="354"/>
      <c r="ER620" s="353">
        <f>IF(EP620=0,0,(EQ620-EP620)/EP620*100)</f>
        <v>0</v>
      </c>
      <c r="ES620" s="354"/>
      <c r="ET620" s="354"/>
      <c r="EU620" s="353">
        <f>IF(ES620=0,0,(ET620-ES620)/ES620*100)</f>
        <v>0</v>
      </c>
      <c r="EV620" s="354"/>
      <c r="EW620" s="354"/>
      <c r="EX620" s="353">
        <f>IF(EV620=0,0,(EW620-EV620)/EV620*100)</f>
        <v>0</v>
      </c>
      <c r="EY620" s="354"/>
      <c r="EZ620" s="354"/>
      <c r="FA620" s="353">
        <f>IF(EY620=0,0,(EZ620-EY620)/EY620*100)</f>
        <v>0</v>
      </c>
      <c r="FB620" s="354"/>
      <c r="FC620" s="354"/>
      <c r="FD620" s="353">
        <f>IF(FB620=0,0,(FC620-FB620)/FB620*100)</f>
        <v>0</v>
      </c>
      <c r="FE620" s="354"/>
      <c r="FF620" s="354"/>
      <c r="FG620" s="353">
        <f>IF(FE620=0,0,(FF620-FE620)/FE620*100)</f>
        <v>0</v>
      </c>
    </row>
    <row r="621" spans="1:163" s="509" customFormat="1" ht="15" customHeight="1" outlineLevel="1">
      <c r="A621" s="509" t="str">
        <f t="shared" si="127"/>
        <v>1</v>
      </c>
      <c r="C621" s="509" t="str">
        <f>A621&amp;"pIns2"</f>
        <v>1pIns2</v>
      </c>
      <c r="G621" s="509" t="b">
        <f>F582="двухставочный"</f>
        <v>0</v>
      </c>
      <c r="J621" s="509" t="s">
        <v>1340</v>
      </c>
      <c r="L621" s="494" t="s">
        <v>353</v>
      </c>
      <c r="M621" s="495"/>
      <c r="N621" s="496"/>
      <c r="O621" s="496"/>
      <c r="P621" s="496"/>
      <c r="Q621" s="496"/>
      <c r="R621" s="496"/>
      <c r="S621" s="496"/>
      <c r="T621" s="496"/>
      <c r="U621" s="496"/>
      <c r="V621" s="496"/>
      <c r="W621" s="496"/>
      <c r="X621" s="496"/>
      <c r="Y621" s="496"/>
      <c r="Z621" s="496"/>
      <c r="AA621" s="496"/>
      <c r="AB621" s="496"/>
      <c r="AC621" s="496"/>
      <c r="AD621" s="496"/>
      <c r="AE621" s="496"/>
      <c r="AF621" s="496"/>
      <c r="AG621" s="496"/>
      <c r="AH621" s="496"/>
      <c r="AI621" s="496"/>
      <c r="AJ621" s="496"/>
      <c r="AK621" s="496"/>
      <c r="AL621" s="496"/>
      <c r="AM621" s="496"/>
      <c r="AN621" s="496"/>
      <c r="AO621" s="496"/>
      <c r="AP621" s="496"/>
      <c r="AQ621" s="496"/>
      <c r="AR621" s="496"/>
      <c r="AS621" s="496"/>
      <c r="AT621" s="496"/>
      <c r="AU621" s="496"/>
      <c r="AV621" s="496"/>
      <c r="AW621" s="496"/>
      <c r="AX621" s="496"/>
      <c r="AY621" s="496"/>
      <c r="AZ621" s="496"/>
      <c r="BA621" s="496"/>
      <c r="BB621" s="496"/>
      <c r="BC621" s="496"/>
      <c r="BD621" s="496"/>
      <c r="BE621" s="496"/>
      <c r="BF621" s="496"/>
      <c r="BG621" s="496"/>
      <c r="BH621" s="496"/>
      <c r="BI621" s="496"/>
      <c r="BJ621" s="496"/>
      <c r="BK621" s="496"/>
      <c r="BL621" s="496"/>
      <c r="BM621" s="496"/>
      <c r="BN621" s="496"/>
      <c r="BO621" s="496"/>
      <c r="BP621" s="496"/>
      <c r="BQ621" s="496"/>
      <c r="BR621" s="496"/>
      <c r="BS621" s="496"/>
      <c r="BT621" s="496"/>
      <c r="BU621" s="496"/>
      <c r="BV621" s="496"/>
      <c r="BW621" s="496"/>
      <c r="BX621" s="496"/>
      <c r="BY621" s="496"/>
      <c r="BZ621" s="496"/>
      <c r="CA621" s="496"/>
      <c r="CB621" s="496"/>
      <c r="CC621" s="496"/>
      <c r="CD621" s="496"/>
      <c r="CE621" s="496"/>
      <c r="CF621" s="496"/>
      <c r="CG621" s="496"/>
      <c r="CH621" s="496"/>
      <c r="CI621" s="496"/>
      <c r="CJ621" s="496"/>
      <c r="CK621" s="496"/>
      <c r="CL621" s="496"/>
      <c r="CM621" s="496"/>
      <c r="CN621" s="496"/>
      <c r="CO621" s="496"/>
      <c r="CP621" s="496"/>
      <c r="CQ621" s="496"/>
      <c r="CR621" s="496"/>
      <c r="CS621" s="496"/>
      <c r="CT621" s="496"/>
      <c r="CU621" s="496"/>
      <c r="CV621" s="496"/>
      <c r="CW621" s="496"/>
      <c r="CX621" s="496"/>
      <c r="CY621" s="496"/>
      <c r="CZ621" s="496"/>
      <c r="DA621" s="496"/>
      <c r="DB621" s="496"/>
      <c r="DC621" s="496"/>
      <c r="DD621" s="496"/>
      <c r="DE621" s="496"/>
      <c r="DF621" s="496"/>
      <c r="DG621" s="496"/>
      <c r="DH621" s="496"/>
      <c r="DI621" s="496"/>
      <c r="DJ621" s="496"/>
      <c r="DK621" s="496"/>
      <c r="DL621" s="496"/>
      <c r="DM621" s="496"/>
      <c r="DN621" s="496"/>
      <c r="DO621" s="496"/>
      <c r="DP621" s="496"/>
      <c r="DQ621" s="496"/>
      <c r="DR621" s="496"/>
      <c r="DS621" s="496"/>
      <c r="DT621" s="496"/>
      <c r="DU621" s="496"/>
      <c r="DV621" s="496"/>
      <c r="DW621" s="496"/>
      <c r="DX621" s="496"/>
      <c r="DY621" s="496"/>
      <c r="DZ621" s="496"/>
      <c r="EA621" s="496"/>
      <c r="EB621" s="496"/>
      <c r="EC621" s="496"/>
      <c r="ED621" s="496"/>
      <c r="EE621" s="496"/>
      <c r="EF621" s="496"/>
      <c r="EG621" s="496"/>
      <c r="EH621" s="496"/>
      <c r="EI621" s="496"/>
      <c r="EJ621" s="496"/>
      <c r="EK621" s="496"/>
      <c r="EL621" s="496"/>
      <c r="EM621" s="496"/>
      <c r="EN621" s="496"/>
      <c r="EO621" s="496"/>
      <c r="EP621" s="496"/>
      <c r="EQ621" s="496"/>
      <c r="ER621" s="496"/>
      <c r="ES621" s="496"/>
      <c r="ET621" s="496"/>
      <c r="EU621" s="496"/>
      <c r="EV621" s="496"/>
      <c r="EW621" s="496"/>
      <c r="EX621" s="496"/>
      <c r="EY621" s="496"/>
      <c r="EZ621" s="496"/>
      <c r="FA621" s="496"/>
      <c r="FB621" s="496"/>
      <c r="FC621" s="496"/>
      <c r="FD621" s="496"/>
      <c r="FE621" s="496"/>
      <c r="FF621" s="496"/>
      <c r="FG621" s="322"/>
    </row>
    <row r="622" spans="1:163" s="484" customFormat="1">
      <c r="A622" s="497" t="s">
        <v>1077</v>
      </c>
      <c r="M622" s="485"/>
      <c r="N622" s="485"/>
      <c r="O622" s="485"/>
      <c r="P622" s="485"/>
      <c r="AA622" s="486"/>
    </row>
    <row r="623" spans="1:163" s="509" customFormat="1" ht="15" customHeight="1">
      <c r="A623" s="86" t="s">
        <v>18</v>
      </c>
      <c r="L623" s="1167" t="s">
        <v>16</v>
      </c>
      <c r="M623" s="1168"/>
      <c r="N623" s="541" t="str">
        <f>"Тариф " &amp; A623</f>
        <v>Тариф 1</v>
      </c>
      <c r="O623" s="542"/>
      <c r="P623" s="542"/>
      <c r="Q623" s="542"/>
      <c r="R623" s="542"/>
      <c r="S623" s="542"/>
      <c r="T623" s="542"/>
      <c r="U623" s="542"/>
      <c r="V623" s="542"/>
      <c r="W623" s="542"/>
      <c r="X623" s="542"/>
      <c r="Y623" s="542"/>
      <c r="Z623" s="542"/>
      <c r="AA623" s="542"/>
      <c r="AB623" s="542"/>
      <c r="AC623" s="542"/>
      <c r="AD623" s="542"/>
      <c r="AE623" s="542"/>
      <c r="AF623" s="542"/>
      <c r="AG623" s="542"/>
      <c r="AH623" s="542"/>
      <c r="AI623" s="542"/>
      <c r="AJ623" s="542"/>
      <c r="AK623" s="542"/>
      <c r="AL623" s="542"/>
      <c r="AM623" s="542"/>
      <c r="AN623" s="542"/>
      <c r="AO623" s="542"/>
      <c r="AP623" s="542"/>
      <c r="AQ623" s="542"/>
      <c r="AR623" s="542"/>
      <c r="AS623" s="542"/>
      <c r="AT623" s="542"/>
      <c r="AU623" s="542"/>
      <c r="AV623" s="542"/>
      <c r="AW623" s="542"/>
      <c r="AX623" s="542"/>
      <c r="AY623" s="542"/>
      <c r="AZ623" s="542"/>
      <c r="BA623" s="542"/>
      <c r="BB623" s="542"/>
      <c r="BC623" s="542"/>
      <c r="BD623" s="542"/>
      <c r="BE623" s="542"/>
      <c r="BF623" s="542"/>
      <c r="BG623" s="542"/>
      <c r="BH623" s="542"/>
      <c r="BI623" s="542"/>
      <c r="BJ623" s="542"/>
      <c r="BK623" s="542"/>
      <c r="BL623" s="542"/>
      <c r="BM623" s="542"/>
      <c r="BN623" s="542"/>
      <c r="BO623" s="542"/>
      <c r="BP623" s="542"/>
      <c r="BQ623" s="542"/>
      <c r="BR623" s="542"/>
      <c r="BS623" s="542"/>
      <c r="BT623" s="542"/>
      <c r="BU623" s="542"/>
      <c r="BV623" s="542"/>
      <c r="BW623" s="542"/>
      <c r="BX623" s="542"/>
      <c r="BY623" s="542"/>
      <c r="BZ623" s="542"/>
      <c r="CA623" s="542"/>
      <c r="CB623" s="542"/>
      <c r="CC623" s="542"/>
      <c r="CD623" s="542"/>
      <c r="CE623" s="542"/>
      <c r="CF623" s="542"/>
      <c r="CG623" s="542"/>
      <c r="CH623" s="542"/>
      <c r="CI623" s="542"/>
      <c r="CJ623" s="542"/>
      <c r="CK623" s="542"/>
      <c r="CL623" s="542"/>
      <c r="CM623" s="542"/>
      <c r="CN623" s="542"/>
      <c r="CO623" s="542"/>
      <c r="CP623" s="542"/>
      <c r="CQ623" s="542"/>
      <c r="CR623" s="542"/>
      <c r="CS623" s="542"/>
      <c r="CT623" s="542"/>
      <c r="CU623" s="542"/>
      <c r="CV623" s="542"/>
      <c r="CW623" s="542"/>
      <c r="CX623" s="542"/>
      <c r="CY623" s="542"/>
      <c r="CZ623" s="542"/>
      <c r="DA623" s="542"/>
      <c r="DB623" s="542"/>
      <c r="DC623" s="542"/>
      <c r="DD623" s="542"/>
      <c r="DE623" s="542"/>
      <c r="DF623" s="542"/>
      <c r="DG623" s="542"/>
      <c r="DH623" s="542"/>
      <c r="DI623" s="542"/>
      <c r="DJ623" s="542"/>
      <c r="DK623" s="542"/>
      <c r="DL623" s="542"/>
      <c r="DM623" s="542"/>
      <c r="DN623" s="542"/>
      <c r="DO623" s="542"/>
      <c r="DP623" s="542"/>
      <c r="DQ623" s="542"/>
      <c r="DR623" s="542"/>
      <c r="DS623" s="542"/>
      <c r="DT623" s="542"/>
      <c r="DU623" s="542"/>
      <c r="DV623" s="542"/>
      <c r="DW623" s="542"/>
      <c r="DX623" s="542"/>
      <c r="DY623" s="542"/>
      <c r="DZ623" s="542"/>
      <c r="EA623" s="542"/>
      <c r="EB623" s="542"/>
      <c r="EC623" s="542"/>
      <c r="ED623" s="542"/>
      <c r="EE623" s="542"/>
      <c r="EF623" s="542"/>
      <c r="EG623" s="542"/>
      <c r="EH623" s="542"/>
      <c r="EI623" s="542"/>
      <c r="EJ623" s="542"/>
      <c r="EK623" s="542"/>
      <c r="EL623" s="542"/>
      <c r="EM623" s="542"/>
      <c r="EN623" s="542"/>
      <c r="EO623" s="542"/>
      <c r="EP623" s="542"/>
      <c r="EQ623" s="542"/>
      <c r="ER623" s="542"/>
      <c r="ES623" s="542"/>
      <c r="ET623" s="542"/>
      <c r="EU623" s="542"/>
      <c r="EV623" s="542"/>
      <c r="EW623" s="542"/>
      <c r="EX623" s="542"/>
      <c r="EY623" s="542"/>
      <c r="EZ623" s="542"/>
      <c r="FA623" s="542"/>
      <c r="FB623" s="542"/>
      <c r="FC623" s="542"/>
      <c r="FD623" s="542"/>
      <c r="FE623" s="542"/>
      <c r="FF623" s="542"/>
      <c r="FG623" s="543"/>
    </row>
    <row r="624" spans="1:163" s="509" customFormat="1" ht="15" customHeight="1" outlineLevel="1">
      <c r="A624" s="509" t="str">
        <f t="shared" ref="A624:A630" si="128">A623</f>
        <v>1</v>
      </c>
      <c r="L624" s="1161" t="s">
        <v>660</v>
      </c>
      <c r="M624" s="1162"/>
      <c r="N624" s="541" t="str">
        <f>INDEX('Общие сведения'!$K$114:$K$140,MATCH($A624,'Общие сведения'!$D$114:$D$140,0))</f>
        <v>поверхностные сточные воды</v>
      </c>
      <c r="O624" s="341"/>
      <c r="P624" s="341"/>
      <c r="Q624" s="341"/>
      <c r="R624" s="341"/>
      <c r="S624" s="341"/>
      <c r="T624" s="341"/>
      <c r="U624" s="341"/>
      <c r="V624" s="341"/>
      <c r="W624" s="341"/>
      <c r="X624" s="341"/>
      <c r="Y624" s="341"/>
      <c r="Z624" s="341"/>
      <c r="AA624" s="341"/>
      <c r="AB624" s="341"/>
      <c r="AC624" s="341"/>
      <c r="AD624" s="341"/>
      <c r="AE624" s="341"/>
      <c r="AF624" s="341"/>
      <c r="AG624" s="341"/>
      <c r="AH624" s="341"/>
      <c r="AI624" s="341"/>
      <c r="AJ624" s="341"/>
      <c r="AK624" s="341"/>
      <c r="AL624" s="341"/>
      <c r="AM624" s="341"/>
      <c r="AN624" s="341"/>
      <c r="AO624" s="341"/>
      <c r="AP624" s="341"/>
      <c r="AQ624" s="341"/>
      <c r="AR624" s="341"/>
      <c r="AS624" s="341"/>
      <c r="AT624" s="341"/>
      <c r="AU624" s="341"/>
      <c r="AV624" s="341"/>
      <c r="AW624" s="341"/>
      <c r="AX624" s="341"/>
      <c r="AY624" s="341"/>
      <c r="AZ624" s="341"/>
      <c r="BA624" s="341"/>
      <c r="BB624" s="341"/>
      <c r="BC624" s="341"/>
      <c r="BD624" s="341"/>
      <c r="BE624" s="341"/>
      <c r="BF624" s="341"/>
      <c r="BG624" s="341"/>
      <c r="BH624" s="341"/>
      <c r="BI624" s="341"/>
      <c r="BJ624" s="341"/>
      <c r="BK624" s="341"/>
      <c r="BL624" s="341"/>
      <c r="BM624" s="341"/>
      <c r="BN624" s="341"/>
      <c r="BO624" s="341"/>
      <c r="BP624" s="341"/>
      <c r="BQ624" s="341"/>
      <c r="BR624" s="341"/>
      <c r="BS624" s="341"/>
      <c r="BT624" s="341"/>
      <c r="BU624" s="341"/>
      <c r="BV624" s="341"/>
      <c r="BW624" s="341"/>
      <c r="BX624" s="341"/>
      <c r="BY624" s="341"/>
      <c r="BZ624" s="341"/>
      <c r="CA624" s="341"/>
      <c r="CB624" s="341"/>
      <c r="CC624" s="341"/>
      <c r="CD624" s="341"/>
      <c r="CE624" s="341"/>
      <c r="CF624" s="341"/>
      <c r="CG624" s="341"/>
      <c r="CH624" s="341"/>
      <c r="CI624" s="341"/>
      <c r="CJ624" s="341"/>
      <c r="CK624" s="341"/>
      <c r="CL624" s="341"/>
      <c r="CM624" s="341"/>
      <c r="CN624" s="341"/>
      <c r="CO624" s="341"/>
      <c r="CP624" s="341"/>
      <c r="CQ624" s="341"/>
      <c r="CR624" s="341"/>
      <c r="CS624" s="341"/>
      <c r="CT624" s="341"/>
      <c r="CU624" s="341"/>
      <c r="CV624" s="341"/>
      <c r="CW624" s="341"/>
      <c r="CX624" s="341"/>
      <c r="CY624" s="341"/>
      <c r="CZ624" s="341"/>
      <c r="DA624" s="341"/>
      <c r="DB624" s="341"/>
      <c r="DC624" s="341"/>
      <c r="DD624" s="341"/>
      <c r="DE624" s="341"/>
      <c r="DF624" s="341"/>
      <c r="DG624" s="341"/>
      <c r="DH624" s="341"/>
      <c r="DI624" s="341"/>
      <c r="DJ624" s="341"/>
      <c r="DK624" s="341"/>
      <c r="DL624" s="341"/>
      <c r="DM624" s="341"/>
      <c r="DN624" s="341"/>
      <c r="DO624" s="341"/>
      <c r="DP624" s="341"/>
      <c r="DQ624" s="341"/>
      <c r="DR624" s="341"/>
      <c r="DS624" s="341"/>
      <c r="DT624" s="341"/>
      <c r="DU624" s="341"/>
      <c r="DV624" s="341"/>
      <c r="DW624" s="341"/>
      <c r="DX624" s="341"/>
      <c r="DY624" s="341"/>
      <c r="DZ624" s="341"/>
      <c r="EA624" s="341"/>
      <c r="EB624" s="341"/>
      <c r="EC624" s="341"/>
      <c r="ED624" s="341"/>
      <c r="EE624" s="341"/>
      <c r="EF624" s="341"/>
      <c r="EG624" s="341"/>
      <c r="EH624" s="341"/>
      <c r="EI624" s="341"/>
      <c r="EJ624" s="341"/>
      <c r="EK624" s="341"/>
      <c r="EL624" s="341"/>
      <c r="EM624" s="341"/>
      <c r="EN624" s="341"/>
      <c r="EO624" s="341"/>
      <c r="EP624" s="341"/>
      <c r="EQ624" s="341"/>
      <c r="ER624" s="341"/>
      <c r="ES624" s="341"/>
      <c r="ET624" s="341"/>
      <c r="EU624" s="341"/>
      <c r="EV624" s="341"/>
      <c r="EW624" s="341"/>
      <c r="EX624" s="341"/>
      <c r="EY624" s="341"/>
      <c r="EZ624" s="341"/>
      <c r="FA624" s="341"/>
      <c r="FB624" s="341"/>
      <c r="FC624" s="341"/>
      <c r="FD624" s="341"/>
      <c r="FE624" s="341"/>
      <c r="FF624" s="341"/>
      <c r="FG624" s="342"/>
    </row>
    <row r="625" spans="1:163" s="509" customFormat="1" ht="15" customHeight="1" outlineLevel="1">
      <c r="A625" s="509" t="str">
        <f t="shared" si="128"/>
        <v>1</v>
      </c>
      <c r="L625" s="1161" t="s">
        <v>661</v>
      </c>
      <c r="M625" s="1162"/>
      <c r="N625" s="541" t="str">
        <f>INDEX('Общие сведения'!$L$114:$L$140,MATCH($A625,'Общие сведения'!$D$114:$D$140,0))</f>
        <v>тариф на транспортировку сточных вод</v>
      </c>
      <c r="O625" s="341"/>
      <c r="P625" s="341"/>
      <c r="Q625" s="341"/>
      <c r="R625" s="341"/>
      <c r="S625" s="341"/>
      <c r="T625" s="341"/>
      <c r="U625" s="341"/>
      <c r="V625" s="341"/>
      <c r="W625" s="341"/>
      <c r="X625" s="341"/>
      <c r="Y625" s="341"/>
      <c r="Z625" s="341"/>
      <c r="AA625" s="341"/>
      <c r="AB625" s="341"/>
      <c r="AC625" s="341"/>
      <c r="AD625" s="341"/>
      <c r="AE625" s="341"/>
      <c r="AF625" s="341"/>
      <c r="AG625" s="341"/>
      <c r="AH625" s="341"/>
      <c r="AI625" s="341"/>
      <c r="AJ625" s="341"/>
      <c r="AK625" s="341"/>
      <c r="AL625" s="341"/>
      <c r="AM625" s="341"/>
      <c r="AN625" s="341"/>
      <c r="AO625" s="341"/>
      <c r="AP625" s="341"/>
      <c r="AQ625" s="341"/>
      <c r="AR625" s="341"/>
      <c r="AS625" s="341"/>
      <c r="AT625" s="341"/>
      <c r="AU625" s="341"/>
      <c r="AV625" s="341"/>
      <c r="AW625" s="341"/>
      <c r="AX625" s="341"/>
      <c r="AY625" s="341"/>
      <c r="AZ625" s="341"/>
      <c r="BA625" s="341"/>
      <c r="BB625" s="341"/>
      <c r="BC625" s="341"/>
      <c r="BD625" s="341"/>
      <c r="BE625" s="341"/>
      <c r="BF625" s="341"/>
      <c r="BG625" s="341"/>
      <c r="BH625" s="341"/>
      <c r="BI625" s="341"/>
      <c r="BJ625" s="341"/>
      <c r="BK625" s="341"/>
      <c r="BL625" s="341"/>
      <c r="BM625" s="341"/>
      <c r="BN625" s="341"/>
      <c r="BO625" s="341"/>
      <c r="BP625" s="341"/>
      <c r="BQ625" s="341"/>
      <c r="BR625" s="341"/>
      <c r="BS625" s="341"/>
      <c r="BT625" s="341"/>
      <c r="BU625" s="341"/>
      <c r="BV625" s="341"/>
      <c r="BW625" s="341"/>
      <c r="BX625" s="341"/>
      <c r="BY625" s="341"/>
      <c r="BZ625" s="341"/>
      <c r="CA625" s="341"/>
      <c r="CB625" s="341"/>
      <c r="CC625" s="341"/>
      <c r="CD625" s="341"/>
      <c r="CE625" s="341"/>
      <c r="CF625" s="341"/>
      <c r="CG625" s="341"/>
      <c r="CH625" s="341"/>
      <c r="CI625" s="341"/>
      <c r="CJ625" s="341"/>
      <c r="CK625" s="341"/>
      <c r="CL625" s="341"/>
      <c r="CM625" s="341"/>
      <c r="CN625" s="341"/>
      <c r="CO625" s="341"/>
      <c r="CP625" s="341"/>
      <c r="CQ625" s="341"/>
      <c r="CR625" s="341"/>
      <c r="CS625" s="341"/>
      <c r="CT625" s="341"/>
      <c r="CU625" s="341"/>
      <c r="CV625" s="341"/>
      <c r="CW625" s="341"/>
      <c r="CX625" s="341"/>
      <c r="CY625" s="341"/>
      <c r="CZ625" s="341"/>
      <c r="DA625" s="341"/>
      <c r="DB625" s="341"/>
      <c r="DC625" s="341"/>
      <c r="DD625" s="341"/>
      <c r="DE625" s="341"/>
      <c r="DF625" s="341"/>
      <c r="DG625" s="341"/>
      <c r="DH625" s="341"/>
      <c r="DI625" s="341"/>
      <c r="DJ625" s="341"/>
      <c r="DK625" s="341"/>
      <c r="DL625" s="341"/>
      <c r="DM625" s="341"/>
      <c r="DN625" s="341"/>
      <c r="DO625" s="341"/>
      <c r="DP625" s="341"/>
      <c r="DQ625" s="341"/>
      <c r="DR625" s="341"/>
      <c r="DS625" s="341"/>
      <c r="DT625" s="341"/>
      <c r="DU625" s="341"/>
      <c r="DV625" s="341"/>
      <c r="DW625" s="341"/>
      <c r="DX625" s="341"/>
      <c r="DY625" s="341"/>
      <c r="DZ625" s="341"/>
      <c r="EA625" s="341"/>
      <c r="EB625" s="341"/>
      <c r="EC625" s="341"/>
      <c r="ED625" s="341"/>
      <c r="EE625" s="341"/>
      <c r="EF625" s="341"/>
      <c r="EG625" s="341"/>
      <c r="EH625" s="341"/>
      <c r="EI625" s="341"/>
      <c r="EJ625" s="341"/>
      <c r="EK625" s="341"/>
      <c r="EL625" s="341"/>
      <c r="EM625" s="341"/>
      <c r="EN625" s="341"/>
      <c r="EO625" s="341"/>
      <c r="EP625" s="341"/>
      <c r="EQ625" s="341"/>
      <c r="ER625" s="341"/>
      <c r="ES625" s="341"/>
      <c r="ET625" s="341"/>
      <c r="EU625" s="341"/>
      <c r="EV625" s="341"/>
      <c r="EW625" s="341"/>
      <c r="EX625" s="341"/>
      <c r="EY625" s="341"/>
      <c r="EZ625" s="341"/>
      <c r="FA625" s="341"/>
      <c r="FB625" s="341"/>
      <c r="FC625" s="341"/>
      <c r="FD625" s="341"/>
      <c r="FE625" s="341"/>
      <c r="FF625" s="341"/>
      <c r="FG625" s="342"/>
    </row>
    <row r="626" spans="1:163" s="509" customFormat="1" ht="15" customHeight="1" outlineLevel="1">
      <c r="A626" s="509" t="str">
        <f t="shared" si="128"/>
        <v>1</v>
      </c>
      <c r="L626" s="1163" t="s">
        <v>264</v>
      </c>
      <c r="M626" s="1164"/>
      <c r="N626" s="541">
        <f>INDEX('Общие сведения'!$M$114:$M$140,MATCH($A626,'Общие сведения'!$D$114:$D$140,0))</f>
        <v>0</v>
      </c>
      <c r="O626" s="341"/>
      <c r="P626" s="341"/>
      <c r="Q626" s="341"/>
      <c r="R626" s="341"/>
      <c r="S626" s="341"/>
      <c r="T626" s="341"/>
      <c r="U626" s="341"/>
      <c r="V626" s="341"/>
      <c r="W626" s="341"/>
      <c r="X626" s="341"/>
      <c r="Y626" s="341"/>
      <c r="Z626" s="341"/>
      <c r="AA626" s="341"/>
      <c r="AB626" s="341"/>
      <c r="AC626" s="341"/>
      <c r="AD626" s="341"/>
      <c r="AE626" s="341"/>
      <c r="AF626" s="341"/>
      <c r="AG626" s="341"/>
      <c r="AH626" s="341"/>
      <c r="AI626" s="341"/>
      <c r="AJ626" s="341"/>
      <c r="AK626" s="341"/>
      <c r="AL626" s="341"/>
      <c r="AM626" s="341"/>
      <c r="AN626" s="341"/>
      <c r="AO626" s="341"/>
      <c r="AP626" s="341"/>
      <c r="AQ626" s="341"/>
      <c r="AR626" s="341"/>
      <c r="AS626" s="341"/>
      <c r="AT626" s="341"/>
      <c r="AU626" s="341"/>
      <c r="AV626" s="341"/>
      <c r="AW626" s="341"/>
      <c r="AX626" s="341"/>
      <c r="AY626" s="341"/>
      <c r="AZ626" s="341"/>
      <c r="BA626" s="341"/>
      <c r="BB626" s="341"/>
      <c r="BC626" s="341"/>
      <c r="BD626" s="341"/>
      <c r="BE626" s="341"/>
      <c r="BF626" s="341"/>
      <c r="BG626" s="341"/>
      <c r="BH626" s="341"/>
      <c r="BI626" s="341"/>
      <c r="BJ626" s="341"/>
      <c r="BK626" s="341"/>
      <c r="BL626" s="341"/>
      <c r="BM626" s="341"/>
      <c r="BN626" s="341"/>
      <c r="BO626" s="341"/>
      <c r="BP626" s="341"/>
      <c r="BQ626" s="341"/>
      <c r="BR626" s="341"/>
      <c r="BS626" s="341"/>
      <c r="BT626" s="341"/>
      <c r="BU626" s="341"/>
      <c r="BV626" s="341"/>
      <c r="BW626" s="341"/>
      <c r="BX626" s="341"/>
      <c r="BY626" s="341"/>
      <c r="BZ626" s="341"/>
      <c r="CA626" s="341"/>
      <c r="CB626" s="341"/>
      <c r="CC626" s="341"/>
      <c r="CD626" s="341"/>
      <c r="CE626" s="341"/>
      <c r="CF626" s="341"/>
      <c r="CG626" s="341"/>
      <c r="CH626" s="341"/>
      <c r="CI626" s="341"/>
      <c r="CJ626" s="341"/>
      <c r="CK626" s="341"/>
      <c r="CL626" s="341"/>
      <c r="CM626" s="341"/>
      <c r="CN626" s="341"/>
      <c r="CO626" s="341"/>
      <c r="CP626" s="341"/>
      <c r="CQ626" s="341"/>
      <c r="CR626" s="341"/>
      <c r="CS626" s="341"/>
      <c r="CT626" s="341"/>
      <c r="CU626" s="341"/>
      <c r="CV626" s="341"/>
      <c r="CW626" s="341"/>
      <c r="CX626" s="341"/>
      <c r="CY626" s="341"/>
      <c r="CZ626" s="341"/>
      <c r="DA626" s="341"/>
      <c r="DB626" s="341"/>
      <c r="DC626" s="341"/>
      <c r="DD626" s="341"/>
      <c r="DE626" s="341"/>
      <c r="DF626" s="341"/>
      <c r="DG626" s="341"/>
      <c r="DH626" s="341"/>
      <c r="DI626" s="341"/>
      <c r="DJ626" s="341"/>
      <c r="DK626" s="341"/>
      <c r="DL626" s="341"/>
      <c r="DM626" s="341"/>
      <c r="DN626" s="341"/>
      <c r="DO626" s="341"/>
      <c r="DP626" s="341"/>
      <c r="DQ626" s="341"/>
      <c r="DR626" s="341"/>
      <c r="DS626" s="341"/>
      <c r="DT626" s="341"/>
      <c r="DU626" s="341"/>
      <c r="DV626" s="341"/>
      <c r="DW626" s="341"/>
      <c r="DX626" s="341"/>
      <c r="DY626" s="341"/>
      <c r="DZ626" s="341"/>
      <c r="EA626" s="341"/>
      <c r="EB626" s="341"/>
      <c r="EC626" s="341"/>
      <c r="ED626" s="341"/>
      <c r="EE626" s="341"/>
      <c r="EF626" s="341"/>
      <c r="EG626" s="341"/>
      <c r="EH626" s="341"/>
      <c r="EI626" s="341"/>
      <c r="EJ626" s="341"/>
      <c r="EK626" s="341"/>
      <c r="EL626" s="341"/>
      <c r="EM626" s="341"/>
      <c r="EN626" s="341"/>
      <c r="EO626" s="341"/>
      <c r="EP626" s="341"/>
      <c r="EQ626" s="341"/>
      <c r="ER626" s="341"/>
      <c r="ES626" s="341"/>
      <c r="ET626" s="341"/>
      <c r="EU626" s="341"/>
      <c r="EV626" s="341"/>
      <c r="EW626" s="341"/>
      <c r="EX626" s="341"/>
      <c r="EY626" s="341"/>
      <c r="EZ626" s="341"/>
      <c r="FA626" s="341"/>
      <c r="FB626" s="341"/>
      <c r="FC626" s="341"/>
      <c r="FD626" s="341"/>
      <c r="FE626" s="341"/>
      <c r="FF626" s="341"/>
      <c r="FG626" s="342"/>
    </row>
    <row r="627" spans="1:163" s="346" customFormat="1" ht="15" customHeight="1" outlineLevel="1">
      <c r="A627" s="509" t="str">
        <f t="shared" si="128"/>
        <v>1</v>
      </c>
      <c r="C627" s="509" t="s">
        <v>1407</v>
      </c>
      <c r="D627" s="509" t="s">
        <v>1609</v>
      </c>
      <c r="L627" s="391" t="s">
        <v>676</v>
      </c>
      <c r="M627" s="392" t="s">
        <v>655</v>
      </c>
      <c r="N627" s="393"/>
      <c r="O627" s="393"/>
      <c r="P627" s="350">
        <f>IF(N627=0,0,(O627-N627)/N627*100)</f>
        <v>0</v>
      </c>
      <c r="Q627" s="393"/>
      <c r="R627" s="393"/>
      <c r="S627" s="350">
        <f>IF(Q627=0,0,(R627-Q627)/Q627*100)</f>
        <v>0</v>
      </c>
      <c r="T627" s="393"/>
      <c r="U627" s="393"/>
      <c r="V627" s="350">
        <f>IF(T627=0,0,(U627-T627)/T627*100)</f>
        <v>0</v>
      </c>
      <c r="W627" s="393"/>
      <c r="X627" s="393"/>
      <c r="Y627" s="350">
        <f>IF(W627=0,0,(X627-W627)/W627*100)</f>
        <v>0</v>
      </c>
      <c r="Z627" s="393"/>
      <c r="AA627" s="393"/>
      <c r="AB627" s="350">
        <f>IF(Z627=0,0,(AA627-Z627)/Z627*100)</f>
        <v>0</v>
      </c>
      <c r="AC627" s="393"/>
      <c r="AD627" s="393"/>
      <c r="AE627" s="350">
        <f>IF(AC627=0,0,(AD627-AC627)/AC627*100)</f>
        <v>0</v>
      </c>
      <c r="AF627" s="393"/>
      <c r="AG627" s="393"/>
      <c r="AH627" s="350">
        <f>IF(AF627=0,0,(AG627-AF627)/AF627*100)</f>
        <v>0</v>
      </c>
      <c r="AI627" s="393"/>
      <c r="AJ627" s="393"/>
      <c r="AK627" s="350">
        <f>IF(AI627=0,0,(AJ627-AI627)/AI627*100)</f>
        <v>0</v>
      </c>
      <c r="AL627" s="393"/>
      <c r="AM627" s="393"/>
      <c r="AN627" s="350">
        <f>IF(AL627=0,0,(AM627-AL627)/AL627*100)</f>
        <v>0</v>
      </c>
      <c r="AO627" s="393"/>
      <c r="AP627" s="393"/>
      <c r="AQ627" s="350">
        <f>IF(AO627=0,0,(AP627-AO627)/AO627*100)</f>
        <v>0</v>
      </c>
      <c r="AR627" s="393"/>
      <c r="AS627" s="393"/>
      <c r="AT627" s="350">
        <f>IF(AR627=0,0,(AS627-AR627)/AR627*100)</f>
        <v>0</v>
      </c>
      <c r="AU627" s="393"/>
      <c r="AV627" s="393"/>
      <c r="AW627" s="350">
        <f>IF(AU627=0,0,(AV627-AU627)/AU627*100)</f>
        <v>0</v>
      </c>
      <c r="AX627" s="393"/>
      <c r="AY627" s="393"/>
      <c r="AZ627" s="350">
        <f>IF(AX627=0,0,(AY627-AX627)/AX627*100)</f>
        <v>0</v>
      </c>
      <c r="BA627" s="393"/>
      <c r="BB627" s="393"/>
      <c r="BC627" s="350">
        <f>IF(BA627=0,0,(BB627-BA627)/BA627*100)</f>
        <v>0</v>
      </c>
      <c r="BD627" s="393"/>
      <c r="BE627" s="393"/>
      <c r="BF627" s="350">
        <f>IF(BD627=0,0,(BE627-BD627)/BD627*100)</f>
        <v>0</v>
      </c>
      <c r="BG627" s="393"/>
      <c r="BH627" s="393"/>
      <c r="BI627" s="350">
        <f>IF(BG627=0,0,(BH627-BG627)/BG627*100)</f>
        <v>0</v>
      </c>
      <c r="BJ627" s="393"/>
      <c r="BK627" s="393"/>
      <c r="BL627" s="350">
        <f>IF(BJ627=0,0,(BK627-BJ627)/BJ627*100)</f>
        <v>0</v>
      </c>
      <c r="BM627" s="393"/>
      <c r="BN627" s="393"/>
      <c r="BO627" s="350">
        <f>IF(BM627=0,0,(BN627-BM627)/BM627*100)</f>
        <v>0</v>
      </c>
      <c r="BP627" s="393"/>
      <c r="BQ627" s="393"/>
      <c r="BR627" s="350">
        <f>IF(BP627=0,0,(BQ627-BP627)/BP627*100)</f>
        <v>0</v>
      </c>
      <c r="BS627" s="393"/>
      <c r="BT627" s="393"/>
      <c r="BU627" s="350">
        <f>IF(BS627=0,0,(BT627-BS627)/BS627*100)</f>
        <v>0</v>
      </c>
      <c r="BV627" s="393"/>
      <c r="BW627" s="393"/>
      <c r="BX627" s="350">
        <f>IF(BV627=0,0,(BW627-BV627)/BV627*100)</f>
        <v>0</v>
      </c>
      <c r="BY627" s="393"/>
      <c r="BZ627" s="393"/>
      <c r="CA627" s="350">
        <f>IF(BY627=0,0,(BZ627-BY627)/BY627*100)</f>
        <v>0</v>
      </c>
      <c r="CB627" s="393"/>
      <c r="CC627" s="393"/>
      <c r="CD627" s="350">
        <f>IF(CB627=0,0,(CC627-CB627)/CB627*100)</f>
        <v>0</v>
      </c>
      <c r="CE627" s="393"/>
      <c r="CF627" s="393"/>
      <c r="CG627" s="350">
        <f>IF(CE627=0,0,(CF627-CE627)/CE627*100)</f>
        <v>0</v>
      </c>
      <c r="CH627" s="393"/>
      <c r="CI627" s="393"/>
      <c r="CJ627" s="350">
        <f>IF(CH627=0,0,(CI627-CH627)/CH627*100)</f>
        <v>0</v>
      </c>
      <c r="CK627" s="393"/>
      <c r="CL627" s="393"/>
      <c r="CM627" s="350">
        <f>IF(CK627=0,0,(CL627-CK627)/CK627*100)</f>
        <v>0</v>
      </c>
      <c r="CN627" s="393"/>
      <c r="CO627" s="393"/>
      <c r="CP627" s="350">
        <f>IF(CN627=0,0,(CO627-CN627)/CN627*100)</f>
        <v>0</v>
      </c>
      <c r="CQ627" s="393"/>
      <c r="CR627" s="393"/>
      <c r="CS627" s="350">
        <f>IF(CQ627=0,0,(CR627-CQ627)/CQ627*100)</f>
        <v>0</v>
      </c>
      <c r="CT627" s="393"/>
      <c r="CU627" s="393"/>
      <c r="CV627" s="350">
        <f>IF(CT627=0,0,(CU627-CT627)/CT627*100)</f>
        <v>0</v>
      </c>
      <c r="CW627" s="393"/>
      <c r="CX627" s="393"/>
      <c r="CY627" s="350">
        <f>IF(CW627=0,0,(CX627-CW627)/CW627*100)</f>
        <v>0</v>
      </c>
      <c r="CZ627" s="393"/>
      <c r="DA627" s="393"/>
      <c r="DB627" s="350">
        <f>IF(CZ627=0,0,(DA627-CZ627)/CZ627*100)</f>
        <v>0</v>
      </c>
      <c r="DC627" s="393"/>
      <c r="DD627" s="393"/>
      <c r="DE627" s="350">
        <f>IF(DC627=0,0,(DD627-DC627)/DC627*100)</f>
        <v>0</v>
      </c>
      <c r="DF627" s="393"/>
      <c r="DG627" s="393"/>
      <c r="DH627" s="350">
        <f>IF(DF627=0,0,(DG627-DF627)/DF627*100)</f>
        <v>0</v>
      </c>
      <c r="DI627" s="393"/>
      <c r="DJ627" s="393"/>
      <c r="DK627" s="350">
        <f>IF(DI627=0,0,(DJ627-DI627)/DI627*100)</f>
        <v>0</v>
      </c>
      <c r="DL627" s="393"/>
      <c r="DM627" s="393"/>
      <c r="DN627" s="350">
        <f>IF(DL627=0,0,(DM627-DL627)/DL627*100)</f>
        <v>0</v>
      </c>
      <c r="DO627" s="393"/>
      <c r="DP627" s="393"/>
      <c r="DQ627" s="350">
        <f>IF(DO627=0,0,(DP627-DO627)/DO627*100)</f>
        <v>0</v>
      </c>
      <c r="DR627" s="393"/>
      <c r="DS627" s="393"/>
      <c r="DT627" s="350">
        <f>IF(DR627=0,0,(DS627-DR627)/DR627*100)</f>
        <v>0</v>
      </c>
      <c r="DU627" s="393"/>
      <c r="DV627" s="393"/>
      <c r="DW627" s="350">
        <f>IF(DU627=0,0,(DV627-DU627)/DU627*100)</f>
        <v>0</v>
      </c>
      <c r="DX627" s="393"/>
      <c r="DY627" s="393"/>
      <c r="DZ627" s="350">
        <f>IF(DX627=0,0,(DY627-DX627)/DX627*100)</f>
        <v>0</v>
      </c>
      <c r="EA627" s="393"/>
      <c r="EB627" s="393"/>
      <c r="EC627" s="350">
        <f>IF(EA627=0,0,(EB627-EA627)/EA627*100)</f>
        <v>0</v>
      </c>
      <c r="ED627" s="393"/>
      <c r="EE627" s="393"/>
      <c r="EF627" s="350">
        <f>IF(ED627=0,0,(EE627-ED627)/ED627*100)</f>
        <v>0</v>
      </c>
      <c r="EG627" s="393"/>
      <c r="EH627" s="393"/>
      <c r="EI627" s="350">
        <f>IF(EG627=0,0,(EH627-EG627)/EG627*100)</f>
        <v>0</v>
      </c>
      <c r="EJ627" s="393"/>
      <c r="EK627" s="393"/>
      <c r="EL627" s="350">
        <f>IF(EJ627=0,0,(EK627-EJ627)/EJ627*100)</f>
        <v>0</v>
      </c>
      <c r="EM627" s="393"/>
      <c r="EN627" s="393"/>
      <c r="EO627" s="350">
        <f>IF(EM627=0,0,(EN627-EM627)/EM627*100)</f>
        <v>0</v>
      </c>
      <c r="EP627" s="393"/>
      <c r="EQ627" s="393"/>
      <c r="ER627" s="350">
        <f>IF(EP627=0,0,(EQ627-EP627)/EP627*100)</f>
        <v>0</v>
      </c>
      <c r="ES627" s="393"/>
      <c r="ET627" s="393"/>
      <c r="EU627" s="350">
        <f>IF(ES627=0,0,(ET627-ES627)/ES627*100)</f>
        <v>0</v>
      </c>
      <c r="EV627" s="393"/>
      <c r="EW627" s="393"/>
      <c r="EX627" s="350">
        <f>IF(EV627=0,0,(EW627-EV627)/EV627*100)</f>
        <v>0</v>
      </c>
      <c r="EY627" s="393"/>
      <c r="EZ627" s="393"/>
      <c r="FA627" s="350">
        <f>IF(EY627=0,0,(EZ627-EY627)/EY627*100)</f>
        <v>0</v>
      </c>
      <c r="FB627" s="393"/>
      <c r="FC627" s="393"/>
      <c r="FD627" s="350">
        <f>IF(FB627=0,0,(FC627-FB627)/FB627*100)</f>
        <v>0</v>
      </c>
      <c r="FE627" s="393"/>
      <c r="FF627" s="393"/>
      <c r="FG627" s="350">
        <f>IF(FE627=0,0,(FF627-FE627)/FE627*100)</f>
        <v>0</v>
      </c>
    </row>
    <row r="628" spans="1:163" s="346" customFormat="1" ht="15" customHeight="1" outlineLevel="1">
      <c r="A628" s="509" t="str">
        <f t="shared" si="128"/>
        <v>1</v>
      </c>
      <c r="C628" s="509" t="s">
        <v>1407</v>
      </c>
      <c r="D628" s="509" t="s">
        <v>1610</v>
      </c>
      <c r="L628" s="391" t="s">
        <v>677</v>
      </c>
      <c r="M628" s="392" t="s">
        <v>655</v>
      </c>
      <c r="N628" s="393"/>
      <c r="O628" s="393"/>
      <c r="P628" s="350">
        <f>IF(N628=0,0,(O628-N628)/N628*100)</f>
        <v>0</v>
      </c>
      <c r="Q628" s="393"/>
      <c r="R628" s="393"/>
      <c r="S628" s="350">
        <f>IF(Q628=0,0,(R628-Q628)/Q628*100)</f>
        <v>0</v>
      </c>
      <c r="T628" s="393"/>
      <c r="U628" s="393"/>
      <c r="V628" s="350">
        <f>IF(T628=0,0,(U628-T628)/T628*100)</f>
        <v>0</v>
      </c>
      <c r="W628" s="393"/>
      <c r="X628" s="393"/>
      <c r="Y628" s="350">
        <f>IF(W628=0,0,(X628-W628)/W628*100)</f>
        <v>0</v>
      </c>
      <c r="Z628" s="393"/>
      <c r="AA628" s="393"/>
      <c r="AB628" s="350">
        <f>IF(Z628=0,0,(AA628-Z628)/Z628*100)</f>
        <v>0</v>
      </c>
      <c r="AC628" s="393"/>
      <c r="AD628" s="393"/>
      <c r="AE628" s="350">
        <f>IF(AC628=0,0,(AD628-AC628)/AC628*100)</f>
        <v>0</v>
      </c>
      <c r="AF628" s="393"/>
      <c r="AG628" s="393"/>
      <c r="AH628" s="350">
        <f>IF(AF628=0,0,(AG628-AF628)/AF628*100)</f>
        <v>0</v>
      </c>
      <c r="AI628" s="393"/>
      <c r="AJ628" s="393"/>
      <c r="AK628" s="350">
        <f>IF(AI628=0,0,(AJ628-AI628)/AI628*100)</f>
        <v>0</v>
      </c>
      <c r="AL628" s="393"/>
      <c r="AM628" s="393"/>
      <c r="AN628" s="350">
        <f>IF(AL628=0,0,(AM628-AL628)/AL628*100)</f>
        <v>0</v>
      </c>
      <c r="AO628" s="393"/>
      <c r="AP628" s="393"/>
      <c r="AQ628" s="350">
        <f>IF(AO628=0,0,(AP628-AO628)/AO628*100)</f>
        <v>0</v>
      </c>
      <c r="AR628" s="393"/>
      <c r="AS628" s="393"/>
      <c r="AT628" s="350">
        <f>IF(AR628=0,0,(AS628-AR628)/AR628*100)</f>
        <v>0</v>
      </c>
      <c r="AU628" s="393"/>
      <c r="AV628" s="393"/>
      <c r="AW628" s="350">
        <f>IF(AU628=0,0,(AV628-AU628)/AU628*100)</f>
        <v>0</v>
      </c>
      <c r="AX628" s="393"/>
      <c r="AY628" s="393"/>
      <c r="AZ628" s="350">
        <f>IF(AX628=0,0,(AY628-AX628)/AX628*100)</f>
        <v>0</v>
      </c>
      <c r="BA628" s="393"/>
      <c r="BB628" s="393"/>
      <c r="BC628" s="350">
        <f>IF(BA628=0,0,(BB628-BA628)/BA628*100)</f>
        <v>0</v>
      </c>
      <c r="BD628" s="393"/>
      <c r="BE628" s="393"/>
      <c r="BF628" s="350">
        <f>IF(BD628=0,0,(BE628-BD628)/BD628*100)</f>
        <v>0</v>
      </c>
      <c r="BG628" s="393"/>
      <c r="BH628" s="393"/>
      <c r="BI628" s="350">
        <f>IF(BG628=0,0,(BH628-BG628)/BG628*100)</f>
        <v>0</v>
      </c>
      <c r="BJ628" s="393"/>
      <c r="BK628" s="393"/>
      <c r="BL628" s="350">
        <f>IF(BJ628=0,0,(BK628-BJ628)/BJ628*100)</f>
        <v>0</v>
      </c>
      <c r="BM628" s="393"/>
      <c r="BN628" s="393"/>
      <c r="BO628" s="350">
        <f>IF(BM628=0,0,(BN628-BM628)/BM628*100)</f>
        <v>0</v>
      </c>
      <c r="BP628" s="393"/>
      <c r="BQ628" s="393"/>
      <c r="BR628" s="350">
        <f>IF(BP628=0,0,(BQ628-BP628)/BP628*100)</f>
        <v>0</v>
      </c>
      <c r="BS628" s="393"/>
      <c r="BT628" s="393"/>
      <c r="BU628" s="350">
        <f>IF(BS628=0,0,(BT628-BS628)/BS628*100)</f>
        <v>0</v>
      </c>
      <c r="BV628" s="393"/>
      <c r="BW628" s="393"/>
      <c r="BX628" s="350">
        <f>IF(BV628=0,0,(BW628-BV628)/BV628*100)</f>
        <v>0</v>
      </c>
      <c r="BY628" s="393"/>
      <c r="BZ628" s="393"/>
      <c r="CA628" s="350">
        <f>IF(BY628=0,0,(BZ628-BY628)/BY628*100)</f>
        <v>0</v>
      </c>
      <c r="CB628" s="393"/>
      <c r="CC628" s="393"/>
      <c r="CD628" s="350">
        <f>IF(CB628=0,0,(CC628-CB628)/CB628*100)</f>
        <v>0</v>
      </c>
      <c r="CE628" s="393"/>
      <c r="CF628" s="393"/>
      <c r="CG628" s="350">
        <f>IF(CE628=0,0,(CF628-CE628)/CE628*100)</f>
        <v>0</v>
      </c>
      <c r="CH628" s="393"/>
      <c r="CI628" s="393"/>
      <c r="CJ628" s="350">
        <f>IF(CH628=0,0,(CI628-CH628)/CH628*100)</f>
        <v>0</v>
      </c>
      <c r="CK628" s="393"/>
      <c r="CL628" s="393"/>
      <c r="CM628" s="350">
        <f>IF(CK628=0,0,(CL628-CK628)/CK628*100)</f>
        <v>0</v>
      </c>
      <c r="CN628" s="393"/>
      <c r="CO628" s="393"/>
      <c r="CP628" s="350">
        <f>IF(CN628=0,0,(CO628-CN628)/CN628*100)</f>
        <v>0</v>
      </c>
      <c r="CQ628" s="393"/>
      <c r="CR628" s="393"/>
      <c r="CS628" s="350">
        <f>IF(CQ628=0,0,(CR628-CQ628)/CQ628*100)</f>
        <v>0</v>
      </c>
      <c r="CT628" s="393"/>
      <c r="CU628" s="393"/>
      <c r="CV628" s="350">
        <f>IF(CT628=0,0,(CU628-CT628)/CT628*100)</f>
        <v>0</v>
      </c>
      <c r="CW628" s="393"/>
      <c r="CX628" s="393"/>
      <c r="CY628" s="350">
        <f>IF(CW628=0,0,(CX628-CW628)/CW628*100)</f>
        <v>0</v>
      </c>
      <c r="CZ628" s="393"/>
      <c r="DA628" s="393"/>
      <c r="DB628" s="350">
        <f>IF(CZ628=0,0,(DA628-CZ628)/CZ628*100)</f>
        <v>0</v>
      </c>
      <c r="DC628" s="393"/>
      <c r="DD628" s="393"/>
      <c r="DE628" s="350">
        <f>IF(DC628=0,0,(DD628-DC628)/DC628*100)</f>
        <v>0</v>
      </c>
      <c r="DF628" s="393"/>
      <c r="DG628" s="393"/>
      <c r="DH628" s="350">
        <f>IF(DF628=0,0,(DG628-DF628)/DF628*100)</f>
        <v>0</v>
      </c>
      <c r="DI628" s="393"/>
      <c r="DJ628" s="393"/>
      <c r="DK628" s="350">
        <f>IF(DI628=0,0,(DJ628-DI628)/DI628*100)</f>
        <v>0</v>
      </c>
      <c r="DL628" s="393"/>
      <c r="DM628" s="393"/>
      <c r="DN628" s="350">
        <f>IF(DL628=0,0,(DM628-DL628)/DL628*100)</f>
        <v>0</v>
      </c>
      <c r="DO628" s="393"/>
      <c r="DP628" s="393"/>
      <c r="DQ628" s="350">
        <f>IF(DO628=0,0,(DP628-DO628)/DO628*100)</f>
        <v>0</v>
      </c>
      <c r="DR628" s="393"/>
      <c r="DS628" s="393"/>
      <c r="DT628" s="350">
        <f>IF(DR628=0,0,(DS628-DR628)/DR628*100)</f>
        <v>0</v>
      </c>
      <c r="DU628" s="393"/>
      <c r="DV628" s="393"/>
      <c r="DW628" s="350">
        <f>IF(DU628=0,0,(DV628-DU628)/DU628*100)</f>
        <v>0</v>
      </c>
      <c r="DX628" s="393"/>
      <c r="DY628" s="393"/>
      <c r="DZ628" s="350">
        <f>IF(DX628=0,0,(DY628-DX628)/DX628*100)</f>
        <v>0</v>
      </c>
      <c r="EA628" s="393"/>
      <c r="EB628" s="393"/>
      <c r="EC628" s="350">
        <f>IF(EA628=0,0,(EB628-EA628)/EA628*100)</f>
        <v>0</v>
      </c>
      <c r="ED628" s="393"/>
      <c r="EE628" s="393"/>
      <c r="EF628" s="350">
        <f>IF(ED628=0,0,(EE628-ED628)/ED628*100)</f>
        <v>0</v>
      </c>
      <c r="EG628" s="393"/>
      <c r="EH628" s="393"/>
      <c r="EI628" s="350">
        <f>IF(EG628=0,0,(EH628-EG628)/EG628*100)</f>
        <v>0</v>
      </c>
      <c r="EJ628" s="393"/>
      <c r="EK628" s="393"/>
      <c r="EL628" s="350">
        <f>IF(EJ628=0,0,(EK628-EJ628)/EJ628*100)</f>
        <v>0</v>
      </c>
      <c r="EM628" s="393"/>
      <c r="EN628" s="393"/>
      <c r="EO628" s="350">
        <f>IF(EM628=0,0,(EN628-EM628)/EM628*100)</f>
        <v>0</v>
      </c>
      <c r="EP628" s="393"/>
      <c r="EQ628" s="393"/>
      <c r="ER628" s="350">
        <f>IF(EP628=0,0,(EQ628-EP628)/EP628*100)</f>
        <v>0</v>
      </c>
      <c r="ES628" s="393"/>
      <c r="ET628" s="393"/>
      <c r="EU628" s="350">
        <f>IF(ES628=0,0,(ET628-ES628)/ES628*100)</f>
        <v>0</v>
      </c>
      <c r="EV628" s="393"/>
      <c r="EW628" s="393"/>
      <c r="EX628" s="350">
        <f>IF(EV628=0,0,(EW628-EV628)/EV628*100)</f>
        <v>0</v>
      </c>
      <c r="EY628" s="393"/>
      <c r="EZ628" s="393"/>
      <c r="FA628" s="350">
        <f>IF(EY628=0,0,(EZ628-EY628)/EY628*100)</f>
        <v>0</v>
      </c>
      <c r="FB628" s="393"/>
      <c r="FC628" s="393"/>
      <c r="FD628" s="350">
        <f>IF(FB628=0,0,(FC628-FB628)/FB628*100)</f>
        <v>0</v>
      </c>
      <c r="FE628" s="393"/>
      <c r="FF628" s="393"/>
      <c r="FG628" s="350">
        <f>IF(FE628=0,0,(FF628-FE628)/FE628*100)</f>
        <v>0</v>
      </c>
    </row>
    <row r="629" spans="1:163" s="509" customFormat="1" ht="15" customHeight="1" outlineLevel="1">
      <c r="A629" s="509" t="str">
        <f t="shared" si="128"/>
        <v>1</v>
      </c>
      <c r="C629" s="509" t="s">
        <v>1408</v>
      </c>
      <c r="L629" s="394" t="s">
        <v>663</v>
      </c>
      <c r="M629" s="549" t="s">
        <v>137</v>
      </c>
      <c r="N629" s="352">
        <f>IF(N627=0,0,N628/N627)*100</f>
        <v>0</v>
      </c>
      <c r="O629" s="352">
        <f>IF(O627=0,0,O628/O627)*100</f>
        <v>0</v>
      </c>
      <c r="P629" s="395"/>
      <c r="Q629" s="352">
        <f>IF(Q627=0,0,Q628/Q627)*100</f>
        <v>0</v>
      </c>
      <c r="R629" s="352">
        <f>IF(R627=0,0,R628/R627)*100</f>
        <v>0</v>
      </c>
      <c r="S629" s="395"/>
      <c r="T629" s="352">
        <f>IF(T627=0,0,T628/T627)*100</f>
        <v>0</v>
      </c>
      <c r="U629" s="352">
        <f>IF(U627=0,0,U628/U627)*100</f>
        <v>0</v>
      </c>
      <c r="V629" s="395"/>
      <c r="W629" s="352">
        <f>IF(W627=0,0,W628/W627)*100</f>
        <v>0</v>
      </c>
      <c r="X629" s="352">
        <f>IF(X627=0,0,X628/X627)*100</f>
        <v>0</v>
      </c>
      <c r="Y629" s="395"/>
      <c r="Z629" s="352">
        <f>IF(Z627=0,0,Z628/Z627)*100</f>
        <v>0</v>
      </c>
      <c r="AA629" s="352">
        <f>IF(AA627=0,0,AA628/AA627)*100</f>
        <v>0</v>
      </c>
      <c r="AB629" s="395"/>
      <c r="AC629" s="352">
        <f>IF(AC627=0,0,AC628/AC627)*100</f>
        <v>0</v>
      </c>
      <c r="AD629" s="352">
        <f>IF(AD627=0,0,AD628/AD627)*100</f>
        <v>0</v>
      </c>
      <c r="AE629" s="395"/>
      <c r="AF629" s="352">
        <f>IF(AF627=0,0,AF628/AF627)*100</f>
        <v>0</v>
      </c>
      <c r="AG629" s="352">
        <f>IF(AG627=0,0,AG628/AG627)*100</f>
        <v>0</v>
      </c>
      <c r="AH629" s="395"/>
      <c r="AI629" s="352">
        <f>IF(AI627=0,0,AI628/AI627)*100</f>
        <v>0</v>
      </c>
      <c r="AJ629" s="352">
        <f>IF(AJ627=0,0,AJ628/AJ627)*100</f>
        <v>0</v>
      </c>
      <c r="AK629" s="395"/>
      <c r="AL629" s="352">
        <f>IF(AL627=0,0,AL628/AL627)*100</f>
        <v>0</v>
      </c>
      <c r="AM629" s="352">
        <f>IF(AM627=0,0,AM628/AM627)*100</f>
        <v>0</v>
      </c>
      <c r="AN629" s="395"/>
      <c r="AO629" s="352">
        <f>IF(AO627=0,0,AO628/AO627)*100</f>
        <v>0</v>
      </c>
      <c r="AP629" s="352">
        <f>IF(AP627=0,0,AP628/AP627)*100</f>
        <v>0</v>
      </c>
      <c r="AQ629" s="395"/>
      <c r="AR629" s="352">
        <f>IF(AR627=0,0,AR628/AR627)*100</f>
        <v>0</v>
      </c>
      <c r="AS629" s="352">
        <f>IF(AS627=0,0,AS628/AS627)*100</f>
        <v>0</v>
      </c>
      <c r="AT629" s="395"/>
      <c r="AU629" s="352">
        <f>IF(AU627=0,0,AU628/AU627)*100</f>
        <v>0</v>
      </c>
      <c r="AV629" s="352">
        <f>IF(AV627=0,0,AV628/AV627)*100</f>
        <v>0</v>
      </c>
      <c r="AW629" s="395"/>
      <c r="AX629" s="352">
        <f>IF(AX627=0,0,AX628/AX627)*100</f>
        <v>0</v>
      </c>
      <c r="AY629" s="352">
        <f>IF(AY627=0,0,AY628/AY627)*100</f>
        <v>0</v>
      </c>
      <c r="AZ629" s="395"/>
      <c r="BA629" s="352">
        <f>IF(BA627=0,0,BA628/BA627)*100</f>
        <v>0</v>
      </c>
      <c r="BB629" s="352">
        <f>IF(BB627=0,0,BB628/BB627)*100</f>
        <v>0</v>
      </c>
      <c r="BC629" s="395"/>
      <c r="BD629" s="352">
        <f>IF(BD627=0,0,BD628/BD627)*100</f>
        <v>0</v>
      </c>
      <c r="BE629" s="352">
        <f>IF(BE627=0,0,BE628/BE627)*100</f>
        <v>0</v>
      </c>
      <c r="BF629" s="395"/>
      <c r="BG629" s="352">
        <f>IF(BG627=0,0,BG628/BG627)*100</f>
        <v>0</v>
      </c>
      <c r="BH629" s="352">
        <f>IF(BH627=0,0,BH628/BH627)*100</f>
        <v>0</v>
      </c>
      <c r="BI629" s="395"/>
      <c r="BJ629" s="352">
        <f>IF(BJ627=0,0,BJ628/BJ627)*100</f>
        <v>0</v>
      </c>
      <c r="BK629" s="352">
        <f>IF(BK627=0,0,BK628/BK627)*100</f>
        <v>0</v>
      </c>
      <c r="BL629" s="395"/>
      <c r="BM629" s="352">
        <f>IF(BM627=0,0,BM628/BM627)*100</f>
        <v>0</v>
      </c>
      <c r="BN629" s="352">
        <f>IF(BN627=0,0,BN628/BN627)*100</f>
        <v>0</v>
      </c>
      <c r="BO629" s="395"/>
      <c r="BP629" s="352">
        <f>IF(BP627=0,0,BP628/BP627)*100</f>
        <v>0</v>
      </c>
      <c r="BQ629" s="352">
        <f>IF(BQ627=0,0,BQ628/BQ627)*100</f>
        <v>0</v>
      </c>
      <c r="BR629" s="395"/>
      <c r="BS629" s="352">
        <f>IF(BS627=0,0,BS628/BS627)*100</f>
        <v>0</v>
      </c>
      <c r="BT629" s="352">
        <f>IF(BT627=0,0,BT628/BT627)*100</f>
        <v>0</v>
      </c>
      <c r="BU629" s="395"/>
      <c r="BV629" s="352">
        <f>IF(BV627=0,0,BV628/BV627)*100</f>
        <v>0</v>
      </c>
      <c r="BW629" s="352">
        <f>IF(BW627=0,0,BW628/BW627)*100</f>
        <v>0</v>
      </c>
      <c r="BX629" s="395"/>
      <c r="BY629" s="352">
        <f>IF(BY627=0,0,BY628/BY627)*100</f>
        <v>0</v>
      </c>
      <c r="BZ629" s="352">
        <f>IF(BZ627=0,0,BZ628/BZ627)*100</f>
        <v>0</v>
      </c>
      <c r="CA629" s="395"/>
      <c r="CB629" s="352">
        <f>IF(CB627=0,0,CB628/CB627)*100</f>
        <v>0</v>
      </c>
      <c r="CC629" s="352">
        <f>IF(CC627=0,0,CC628/CC627)*100</f>
        <v>0</v>
      </c>
      <c r="CD629" s="395"/>
      <c r="CE629" s="352">
        <f>IF(CE627=0,0,CE628/CE627)*100</f>
        <v>0</v>
      </c>
      <c r="CF629" s="352">
        <f>IF(CF627=0,0,CF628/CF627)*100</f>
        <v>0</v>
      </c>
      <c r="CG629" s="395"/>
      <c r="CH629" s="352">
        <f>IF(CH627=0,0,CH628/CH627)*100</f>
        <v>0</v>
      </c>
      <c r="CI629" s="352">
        <f>IF(CI627=0,0,CI628/CI627)*100</f>
        <v>0</v>
      </c>
      <c r="CJ629" s="395"/>
      <c r="CK629" s="352">
        <f>IF(CK627=0,0,CK628/CK627)*100</f>
        <v>0</v>
      </c>
      <c r="CL629" s="352">
        <f>IF(CL627=0,0,CL628/CL627)*100</f>
        <v>0</v>
      </c>
      <c r="CM629" s="395"/>
      <c r="CN629" s="352">
        <f>IF(CN627=0,0,CN628/CN627)*100</f>
        <v>0</v>
      </c>
      <c r="CO629" s="352">
        <f>IF(CO627=0,0,CO628/CO627)*100</f>
        <v>0</v>
      </c>
      <c r="CP629" s="395"/>
      <c r="CQ629" s="352">
        <f>IF(CQ627=0,0,CQ628/CQ627)*100</f>
        <v>0</v>
      </c>
      <c r="CR629" s="352">
        <f>IF(CR627=0,0,CR628/CR627)*100</f>
        <v>0</v>
      </c>
      <c r="CS629" s="395"/>
      <c r="CT629" s="352">
        <f>IF(CT627=0,0,CT628/CT627)*100</f>
        <v>0</v>
      </c>
      <c r="CU629" s="352">
        <f>IF(CU627=0,0,CU628/CU627)*100</f>
        <v>0</v>
      </c>
      <c r="CV629" s="395"/>
      <c r="CW629" s="352">
        <f>IF(CW627=0,0,CW628/CW627)*100</f>
        <v>0</v>
      </c>
      <c r="CX629" s="352">
        <f>IF(CX627=0,0,CX628/CX627)*100</f>
        <v>0</v>
      </c>
      <c r="CY629" s="395"/>
      <c r="CZ629" s="352">
        <f>IF(CZ627=0,0,CZ628/CZ627)*100</f>
        <v>0</v>
      </c>
      <c r="DA629" s="352">
        <f>IF(DA627=0,0,DA628/DA627)*100</f>
        <v>0</v>
      </c>
      <c r="DB629" s="395"/>
      <c r="DC629" s="352">
        <f>IF(DC627=0,0,DC628/DC627)*100</f>
        <v>0</v>
      </c>
      <c r="DD629" s="352">
        <f>IF(DD627=0,0,DD628/DD627)*100</f>
        <v>0</v>
      </c>
      <c r="DE629" s="395"/>
      <c r="DF629" s="352">
        <f>IF(DF627=0,0,DF628/DF627)*100</f>
        <v>0</v>
      </c>
      <c r="DG629" s="352">
        <f>IF(DG627=0,0,DG628/DG627)*100</f>
        <v>0</v>
      </c>
      <c r="DH629" s="395"/>
      <c r="DI629" s="352">
        <f>IF(DI627=0,0,DI628/DI627)*100</f>
        <v>0</v>
      </c>
      <c r="DJ629" s="352">
        <f>IF(DJ627=0,0,DJ628/DJ627)*100</f>
        <v>0</v>
      </c>
      <c r="DK629" s="395"/>
      <c r="DL629" s="352">
        <f>IF(DL627=0,0,DL628/DL627)*100</f>
        <v>0</v>
      </c>
      <c r="DM629" s="352">
        <f>IF(DM627=0,0,DM628/DM627)*100</f>
        <v>0</v>
      </c>
      <c r="DN629" s="395"/>
      <c r="DO629" s="352">
        <f>IF(DO627=0,0,DO628/DO627)*100</f>
        <v>0</v>
      </c>
      <c r="DP629" s="352">
        <f>IF(DP627=0,0,DP628/DP627)*100</f>
        <v>0</v>
      </c>
      <c r="DQ629" s="395"/>
      <c r="DR629" s="352">
        <f>IF(DR627=0,0,DR628/DR627)*100</f>
        <v>0</v>
      </c>
      <c r="DS629" s="352">
        <f>IF(DS627=0,0,DS628/DS627)*100</f>
        <v>0</v>
      </c>
      <c r="DT629" s="395"/>
      <c r="DU629" s="352">
        <f>IF(DU627=0,0,DU628/DU627)*100</f>
        <v>0</v>
      </c>
      <c r="DV629" s="352">
        <f>IF(DV627=0,0,DV628/DV627)*100</f>
        <v>0</v>
      </c>
      <c r="DW629" s="395"/>
      <c r="DX629" s="352">
        <f>IF(DX627=0,0,DX628/DX627)*100</f>
        <v>0</v>
      </c>
      <c r="DY629" s="352">
        <f>IF(DY627=0,0,DY628/DY627)*100</f>
        <v>0</v>
      </c>
      <c r="DZ629" s="395"/>
      <c r="EA629" s="352">
        <f>IF(EA627=0,0,EA628/EA627)*100</f>
        <v>0</v>
      </c>
      <c r="EB629" s="352">
        <f>IF(EB627=0,0,EB628/EB627)*100</f>
        <v>0</v>
      </c>
      <c r="EC629" s="395"/>
      <c r="ED629" s="352">
        <f>IF(ED627=0,0,ED628/ED627)*100</f>
        <v>0</v>
      </c>
      <c r="EE629" s="352">
        <f>IF(EE627=0,0,EE628/EE627)*100</f>
        <v>0</v>
      </c>
      <c r="EF629" s="395"/>
      <c r="EG629" s="352">
        <f>IF(EG627=0,0,EG628/EG627)*100</f>
        <v>0</v>
      </c>
      <c r="EH629" s="352">
        <f>IF(EH627=0,0,EH628/EH627)*100</f>
        <v>0</v>
      </c>
      <c r="EI629" s="395"/>
      <c r="EJ629" s="352">
        <f>IF(EJ627=0,0,EJ628/EJ627)*100</f>
        <v>0</v>
      </c>
      <c r="EK629" s="352">
        <f>IF(EK627=0,0,EK628/EK627)*100</f>
        <v>0</v>
      </c>
      <c r="EL629" s="395"/>
      <c r="EM629" s="352">
        <f>IF(EM627=0,0,EM628/EM627)*100</f>
        <v>0</v>
      </c>
      <c r="EN629" s="352">
        <f>IF(EN627=0,0,EN628/EN627)*100</f>
        <v>0</v>
      </c>
      <c r="EO629" s="395"/>
      <c r="EP629" s="352">
        <f>IF(EP627=0,0,EP628/EP627)*100</f>
        <v>0</v>
      </c>
      <c r="EQ629" s="352">
        <f>IF(EQ627=0,0,EQ628/EQ627)*100</f>
        <v>0</v>
      </c>
      <c r="ER629" s="395"/>
      <c r="ES629" s="352">
        <f>IF(ES627=0,0,ES628/ES627)*100</f>
        <v>0</v>
      </c>
      <c r="ET629" s="352">
        <f>IF(ET627=0,0,ET628/ET627)*100</f>
        <v>0</v>
      </c>
      <c r="EU629" s="395"/>
      <c r="EV629" s="352">
        <f>IF(EV627=0,0,EV628/EV627)*100</f>
        <v>0</v>
      </c>
      <c r="EW629" s="352">
        <f>IF(EW627=0,0,EW628/EW627)*100</f>
        <v>0</v>
      </c>
      <c r="EX629" s="395"/>
      <c r="EY629" s="352">
        <f>IF(EY627=0,0,EY628/EY627)*100</f>
        <v>0</v>
      </c>
      <c r="EZ629" s="352">
        <f>IF(EZ627=0,0,EZ628/EZ627)*100</f>
        <v>0</v>
      </c>
      <c r="FA629" s="395"/>
      <c r="FB629" s="352">
        <f>IF(FB627=0,0,FB628/FB627)*100</f>
        <v>0</v>
      </c>
      <c r="FC629" s="352">
        <f>IF(FC627=0,0,FC628/FC627)*100</f>
        <v>0</v>
      </c>
      <c r="FD629" s="395"/>
      <c r="FE629" s="352">
        <f>IF(FE627=0,0,FE628/FE627)*100</f>
        <v>0</v>
      </c>
      <c r="FF629" s="352">
        <f>IF(FF627=0,0,FF628/FF627)*100</f>
        <v>0</v>
      </c>
      <c r="FG629" s="550"/>
    </row>
    <row r="630" spans="1:163" s="509" customFormat="1" ht="15" customHeight="1" outlineLevel="1">
      <c r="A630" s="509" t="str">
        <f t="shared" si="128"/>
        <v>1</v>
      </c>
      <c r="C630" s="509" t="str">
        <f>A630&amp;"pIns3"</f>
        <v>1pIns3</v>
      </c>
      <c r="J630" s="509" t="s">
        <v>1341</v>
      </c>
      <c r="L630" s="494" t="s">
        <v>353</v>
      </c>
      <c r="M630" s="495"/>
      <c r="N630" s="496"/>
      <c r="O630" s="496"/>
      <c r="P630" s="496"/>
      <c r="Q630" s="496"/>
      <c r="R630" s="496"/>
      <c r="S630" s="496"/>
      <c r="T630" s="496"/>
      <c r="U630" s="496"/>
      <c r="V630" s="496"/>
      <c r="W630" s="496"/>
      <c r="X630" s="496"/>
      <c r="Y630" s="496"/>
      <c r="Z630" s="496"/>
      <c r="AA630" s="496"/>
      <c r="AB630" s="496"/>
      <c r="AC630" s="496"/>
      <c r="AD630" s="496"/>
      <c r="AE630" s="496"/>
      <c r="AF630" s="496"/>
      <c r="AG630" s="496"/>
      <c r="AH630" s="496"/>
      <c r="AI630" s="496"/>
      <c r="AJ630" s="496"/>
      <c r="AK630" s="496"/>
      <c r="AL630" s="496"/>
      <c r="AM630" s="496"/>
      <c r="AN630" s="496"/>
      <c r="AO630" s="496"/>
      <c r="AP630" s="496"/>
      <c r="AQ630" s="496"/>
      <c r="AR630" s="496"/>
      <c r="AS630" s="496"/>
      <c r="AT630" s="496"/>
      <c r="AU630" s="496"/>
      <c r="AV630" s="496"/>
      <c r="AW630" s="496"/>
      <c r="AX630" s="496"/>
      <c r="AY630" s="496"/>
      <c r="AZ630" s="496"/>
      <c r="BA630" s="496"/>
      <c r="BB630" s="496"/>
      <c r="BC630" s="496"/>
      <c r="BD630" s="496"/>
      <c r="BE630" s="496"/>
      <c r="BF630" s="496"/>
      <c r="BG630" s="496"/>
      <c r="BH630" s="496"/>
      <c r="BI630" s="496"/>
      <c r="BJ630" s="496"/>
      <c r="BK630" s="496"/>
      <c r="BL630" s="496"/>
      <c r="BM630" s="496"/>
      <c r="BN630" s="496"/>
      <c r="BO630" s="496"/>
      <c r="BP630" s="496"/>
      <c r="BQ630" s="496"/>
      <c r="BR630" s="496"/>
      <c r="BS630" s="496"/>
      <c r="BT630" s="496"/>
      <c r="BU630" s="496"/>
      <c r="BV630" s="496"/>
      <c r="BW630" s="496"/>
      <c r="BX630" s="496"/>
      <c r="BY630" s="496"/>
      <c r="BZ630" s="496"/>
      <c r="CA630" s="496"/>
      <c r="CB630" s="496"/>
      <c r="CC630" s="496"/>
      <c r="CD630" s="496"/>
      <c r="CE630" s="496"/>
      <c r="CF630" s="496"/>
      <c r="CG630" s="496"/>
      <c r="CH630" s="496"/>
      <c r="CI630" s="496"/>
      <c r="CJ630" s="496"/>
      <c r="CK630" s="496"/>
      <c r="CL630" s="496"/>
      <c r="CM630" s="496"/>
      <c r="CN630" s="496"/>
      <c r="CO630" s="496"/>
      <c r="CP630" s="496"/>
      <c r="CQ630" s="496"/>
      <c r="CR630" s="496"/>
      <c r="CS630" s="496"/>
      <c r="CT630" s="496"/>
      <c r="CU630" s="496"/>
      <c r="CV630" s="496"/>
      <c r="CW630" s="496"/>
      <c r="CX630" s="496"/>
      <c r="CY630" s="496"/>
      <c r="CZ630" s="496"/>
      <c r="DA630" s="496"/>
      <c r="DB630" s="496"/>
      <c r="DC630" s="496"/>
      <c r="DD630" s="496"/>
      <c r="DE630" s="496"/>
      <c r="DF630" s="496"/>
      <c r="DG630" s="496"/>
      <c r="DH630" s="496"/>
      <c r="DI630" s="496"/>
      <c r="DJ630" s="496"/>
      <c r="DK630" s="496"/>
      <c r="DL630" s="496"/>
      <c r="DM630" s="496"/>
      <c r="DN630" s="496"/>
      <c r="DO630" s="496"/>
      <c r="DP630" s="496"/>
      <c r="DQ630" s="496"/>
      <c r="DR630" s="496"/>
      <c r="DS630" s="496"/>
      <c r="DT630" s="496"/>
      <c r="DU630" s="496"/>
      <c r="DV630" s="496"/>
      <c r="DW630" s="496"/>
      <c r="DX630" s="496"/>
      <c r="DY630" s="496"/>
      <c r="DZ630" s="496"/>
      <c r="EA630" s="496"/>
      <c r="EB630" s="496"/>
      <c r="EC630" s="496"/>
      <c r="ED630" s="496"/>
      <c r="EE630" s="496"/>
      <c r="EF630" s="496"/>
      <c r="EG630" s="496"/>
      <c r="EH630" s="496"/>
      <c r="EI630" s="496"/>
      <c r="EJ630" s="496"/>
      <c r="EK630" s="496"/>
      <c r="EL630" s="496"/>
      <c r="EM630" s="496"/>
      <c r="EN630" s="496"/>
      <c r="EO630" s="496"/>
      <c r="EP630" s="496"/>
      <c r="EQ630" s="496"/>
      <c r="ER630" s="496"/>
      <c r="ES630" s="496"/>
      <c r="ET630" s="496"/>
      <c r="EU630" s="496"/>
      <c r="EV630" s="496"/>
      <c r="EW630" s="496"/>
      <c r="EX630" s="496"/>
      <c r="EY630" s="496"/>
      <c r="EZ630" s="496"/>
      <c r="FA630" s="496"/>
      <c r="FB630" s="496"/>
      <c r="FC630" s="496"/>
      <c r="FD630" s="496"/>
      <c r="FE630" s="496"/>
      <c r="FF630" s="496"/>
      <c r="FG630" s="322"/>
    </row>
    <row r="631" spans="1:163" s="484" customFormat="1">
      <c r="A631" s="497" t="s">
        <v>1342</v>
      </c>
      <c r="M631" s="485"/>
      <c r="N631" s="485"/>
      <c r="O631" s="485"/>
      <c r="P631" s="485"/>
      <c r="AA631" s="486"/>
    </row>
    <row r="632" spans="1:163" s="509" customFormat="1" ht="15" customHeight="1" outlineLevel="1">
      <c r="A632" s="509" t="str">
        <f ca="1">OFFSET(A632,-1,0)</f>
        <v>et_List16_line_o</v>
      </c>
      <c r="C632" s="509" t="s">
        <v>1407</v>
      </c>
      <c r="D632" s="551">
        <f>L632</f>
        <v>0</v>
      </c>
      <c r="G632" s="509">
        <f ca="1">OFFSET(G632,-1,0)</f>
        <v>0</v>
      </c>
      <c r="J632" s="1155"/>
      <c r="K632" s="135" t="s">
        <v>265</v>
      </c>
      <c r="L632" s="498"/>
      <c r="M632" s="499" t="s">
        <v>655</v>
      </c>
      <c r="N632" s="354"/>
      <c r="O632" s="355"/>
      <c r="P632" s="353">
        <f>IF(N632=0,0,(O632-N632)/N632*100)</f>
        <v>0</v>
      </c>
      <c r="Q632" s="354"/>
      <c r="R632" s="355"/>
      <c r="S632" s="353">
        <f>IF(Q632=0,0,(R632-Q632)/Q632*100)</f>
        <v>0</v>
      </c>
      <c r="T632" s="354"/>
      <c r="U632" s="355"/>
      <c r="V632" s="353">
        <f>IF(T632=0,0,(U632-T632)/T632*100)</f>
        <v>0</v>
      </c>
      <c r="W632" s="354"/>
      <c r="X632" s="355"/>
      <c r="Y632" s="353">
        <f>IF(W632=0,0,(X632-W632)/W632*100)</f>
        <v>0</v>
      </c>
      <c r="Z632" s="354"/>
      <c r="AA632" s="355"/>
      <c r="AB632" s="353">
        <f>IF(Z632=0,0,(AA632-Z632)/Z632*100)</f>
        <v>0</v>
      </c>
      <c r="AC632" s="354"/>
      <c r="AD632" s="355"/>
      <c r="AE632" s="353">
        <f>IF(AC632=0,0,(AD632-AC632)/AC632*100)</f>
        <v>0</v>
      </c>
      <c r="AF632" s="354"/>
      <c r="AG632" s="355"/>
      <c r="AH632" s="353">
        <f>IF(AF632=0,0,(AG632-AF632)/AF632*100)</f>
        <v>0</v>
      </c>
      <c r="AI632" s="354"/>
      <c r="AJ632" s="355"/>
      <c r="AK632" s="353">
        <f>IF(AI632=0,0,(AJ632-AI632)/AI632*100)</f>
        <v>0</v>
      </c>
      <c r="AL632" s="354"/>
      <c r="AM632" s="355"/>
      <c r="AN632" s="353">
        <f>IF(AL632=0,0,(AM632-AL632)/AL632*100)</f>
        <v>0</v>
      </c>
      <c r="AO632" s="354"/>
      <c r="AP632" s="355"/>
      <c r="AQ632" s="353">
        <f>IF(AO632=0,0,(AP632-AO632)/AO632*100)</f>
        <v>0</v>
      </c>
      <c r="AR632" s="354"/>
      <c r="AS632" s="355"/>
      <c r="AT632" s="353">
        <f>IF(AR632=0,0,(AS632-AR632)/AR632*100)</f>
        <v>0</v>
      </c>
      <c r="AU632" s="354"/>
      <c r="AV632" s="355"/>
      <c r="AW632" s="353">
        <f>IF(AU632=0,0,(AV632-AU632)/AU632*100)</f>
        <v>0</v>
      </c>
      <c r="AX632" s="354"/>
      <c r="AY632" s="355"/>
      <c r="AZ632" s="353">
        <f>IF(AX632=0,0,(AY632-AX632)/AX632*100)</f>
        <v>0</v>
      </c>
      <c r="BA632" s="354"/>
      <c r="BB632" s="355"/>
      <c r="BC632" s="353">
        <f>IF(BA632=0,0,(BB632-BA632)/BA632*100)</f>
        <v>0</v>
      </c>
      <c r="BD632" s="354"/>
      <c r="BE632" s="355"/>
      <c r="BF632" s="353">
        <f>IF(BD632=0,0,(BE632-BD632)/BD632*100)</f>
        <v>0</v>
      </c>
      <c r="BG632" s="354"/>
      <c r="BH632" s="355"/>
      <c r="BI632" s="353">
        <f>IF(BG632=0,0,(BH632-BG632)/BG632*100)</f>
        <v>0</v>
      </c>
      <c r="BJ632" s="354"/>
      <c r="BK632" s="355"/>
      <c r="BL632" s="353">
        <f>IF(BJ632=0,0,(BK632-BJ632)/BJ632*100)</f>
        <v>0</v>
      </c>
      <c r="BM632" s="354"/>
      <c r="BN632" s="355"/>
      <c r="BO632" s="353">
        <f>IF(BM632=0,0,(BN632-BM632)/BM632*100)</f>
        <v>0</v>
      </c>
      <c r="BP632" s="354"/>
      <c r="BQ632" s="355"/>
      <c r="BR632" s="353">
        <f>IF(BP632=0,0,(BQ632-BP632)/BP632*100)</f>
        <v>0</v>
      </c>
      <c r="BS632" s="354"/>
      <c r="BT632" s="355"/>
      <c r="BU632" s="353">
        <f>IF(BS632=0,0,(BT632-BS632)/BS632*100)</f>
        <v>0</v>
      </c>
      <c r="BV632" s="354"/>
      <c r="BW632" s="355"/>
      <c r="BX632" s="353">
        <f>IF(BV632=0,0,(BW632-BV632)/BV632*100)</f>
        <v>0</v>
      </c>
      <c r="BY632" s="354"/>
      <c r="BZ632" s="355"/>
      <c r="CA632" s="353">
        <f>IF(BY632=0,0,(BZ632-BY632)/BY632*100)</f>
        <v>0</v>
      </c>
      <c r="CB632" s="354"/>
      <c r="CC632" s="355"/>
      <c r="CD632" s="353">
        <f>IF(CB632=0,0,(CC632-CB632)/CB632*100)</f>
        <v>0</v>
      </c>
      <c r="CE632" s="354"/>
      <c r="CF632" s="355"/>
      <c r="CG632" s="353">
        <f>IF(CE632=0,0,(CF632-CE632)/CE632*100)</f>
        <v>0</v>
      </c>
      <c r="CH632" s="354"/>
      <c r="CI632" s="355"/>
      <c r="CJ632" s="353">
        <f>IF(CH632=0,0,(CI632-CH632)/CH632*100)</f>
        <v>0</v>
      </c>
      <c r="CK632" s="354"/>
      <c r="CL632" s="355"/>
      <c r="CM632" s="353">
        <f>IF(CK632=0,0,(CL632-CK632)/CK632*100)</f>
        <v>0</v>
      </c>
      <c r="CN632" s="354"/>
      <c r="CO632" s="355"/>
      <c r="CP632" s="353">
        <f>IF(CN632=0,0,(CO632-CN632)/CN632*100)</f>
        <v>0</v>
      </c>
      <c r="CQ632" s="354"/>
      <c r="CR632" s="355"/>
      <c r="CS632" s="353">
        <f>IF(CQ632=0,0,(CR632-CQ632)/CQ632*100)</f>
        <v>0</v>
      </c>
      <c r="CT632" s="354"/>
      <c r="CU632" s="355"/>
      <c r="CV632" s="353">
        <f>IF(CT632=0,0,(CU632-CT632)/CT632*100)</f>
        <v>0</v>
      </c>
      <c r="CW632" s="354"/>
      <c r="CX632" s="355"/>
      <c r="CY632" s="353">
        <f>IF(CW632=0,0,(CX632-CW632)/CW632*100)</f>
        <v>0</v>
      </c>
      <c r="CZ632" s="354"/>
      <c r="DA632" s="355"/>
      <c r="DB632" s="353">
        <f>IF(CZ632=0,0,(DA632-CZ632)/CZ632*100)</f>
        <v>0</v>
      </c>
      <c r="DC632" s="354"/>
      <c r="DD632" s="355"/>
      <c r="DE632" s="353">
        <f>IF(DC632=0,0,(DD632-DC632)/DC632*100)</f>
        <v>0</v>
      </c>
      <c r="DF632" s="354"/>
      <c r="DG632" s="355"/>
      <c r="DH632" s="353">
        <f>IF(DF632=0,0,(DG632-DF632)/DF632*100)</f>
        <v>0</v>
      </c>
      <c r="DI632" s="354"/>
      <c r="DJ632" s="355"/>
      <c r="DK632" s="353">
        <f>IF(DI632=0,0,(DJ632-DI632)/DI632*100)</f>
        <v>0</v>
      </c>
      <c r="DL632" s="354"/>
      <c r="DM632" s="355"/>
      <c r="DN632" s="353">
        <f>IF(DL632=0,0,(DM632-DL632)/DL632*100)</f>
        <v>0</v>
      </c>
      <c r="DO632" s="354"/>
      <c r="DP632" s="355"/>
      <c r="DQ632" s="353">
        <f>IF(DO632=0,0,(DP632-DO632)/DO632*100)</f>
        <v>0</v>
      </c>
      <c r="DR632" s="354"/>
      <c r="DS632" s="355"/>
      <c r="DT632" s="353">
        <f>IF(DR632=0,0,(DS632-DR632)/DR632*100)</f>
        <v>0</v>
      </c>
      <c r="DU632" s="354"/>
      <c r="DV632" s="355"/>
      <c r="DW632" s="353">
        <f>IF(DU632=0,0,(DV632-DU632)/DU632*100)</f>
        <v>0</v>
      </c>
      <c r="DX632" s="354"/>
      <c r="DY632" s="355"/>
      <c r="DZ632" s="353">
        <f>IF(DX632=0,0,(DY632-DX632)/DX632*100)</f>
        <v>0</v>
      </c>
      <c r="EA632" s="354"/>
      <c r="EB632" s="355"/>
      <c r="EC632" s="353">
        <f>IF(EA632=0,0,(EB632-EA632)/EA632*100)</f>
        <v>0</v>
      </c>
      <c r="ED632" s="354"/>
      <c r="EE632" s="355"/>
      <c r="EF632" s="353">
        <f>IF(ED632=0,0,(EE632-ED632)/ED632*100)</f>
        <v>0</v>
      </c>
      <c r="EG632" s="354"/>
      <c r="EH632" s="355"/>
      <c r="EI632" s="353">
        <f>IF(EG632=0,0,(EH632-EG632)/EG632*100)</f>
        <v>0</v>
      </c>
      <c r="EJ632" s="354"/>
      <c r="EK632" s="355"/>
      <c r="EL632" s="353">
        <f>IF(EJ632=0,0,(EK632-EJ632)/EJ632*100)</f>
        <v>0</v>
      </c>
      <c r="EM632" s="354"/>
      <c r="EN632" s="355"/>
      <c r="EO632" s="353">
        <f>IF(EM632=0,0,(EN632-EM632)/EM632*100)</f>
        <v>0</v>
      </c>
      <c r="EP632" s="354"/>
      <c r="EQ632" s="355"/>
      <c r="ER632" s="353">
        <f>IF(EP632=0,0,(EQ632-EP632)/EP632*100)</f>
        <v>0</v>
      </c>
      <c r="ES632" s="354"/>
      <c r="ET632" s="355"/>
      <c r="EU632" s="353">
        <f>IF(ES632=0,0,(ET632-ES632)/ES632*100)</f>
        <v>0</v>
      </c>
      <c r="EV632" s="354"/>
      <c r="EW632" s="355"/>
      <c r="EX632" s="353">
        <f>IF(EV632=0,0,(EW632-EV632)/EV632*100)</f>
        <v>0</v>
      </c>
      <c r="EY632" s="354"/>
      <c r="EZ632" s="355"/>
      <c r="FA632" s="353">
        <f>IF(EY632=0,0,(EZ632-EY632)/EY632*100)</f>
        <v>0</v>
      </c>
      <c r="FB632" s="354"/>
      <c r="FC632" s="355"/>
      <c r="FD632" s="353">
        <f>IF(FB632=0,0,(FC632-FB632)/FB632*100)</f>
        <v>0</v>
      </c>
      <c r="FE632" s="354"/>
      <c r="FF632" s="355"/>
      <c r="FG632" s="353">
        <f>IF(FE632=0,0,(FF632-FE632)/FE632*100)</f>
        <v>0</v>
      </c>
    </row>
    <row r="633" spans="1:163" s="509" customFormat="1" ht="15" customHeight="1" outlineLevel="1">
      <c r="A633" s="509" t="str">
        <f ca="1">OFFSET(A633,-1,0)</f>
        <v>et_List16_line_o</v>
      </c>
      <c r="C633" s="509" t="s">
        <v>1519</v>
      </c>
      <c r="D633" s="551">
        <f>D632</f>
        <v>0</v>
      </c>
      <c r="G633" s="509">
        <f ca="1">OFFSET(G633,-1,0)</f>
        <v>0</v>
      </c>
      <c r="J633" s="1155"/>
      <c r="K633" s="135"/>
      <c r="L633" s="351" t="s">
        <v>1343</v>
      </c>
      <c r="M633" s="500" t="s">
        <v>311</v>
      </c>
      <c r="N633" s="493"/>
      <c r="O633" s="493"/>
      <c r="P633" s="501">
        <f>IF(N633=0,0,(O633-N633)/N633*100)</f>
        <v>0</v>
      </c>
      <c r="Q633" s="493"/>
      <c r="R633" s="493"/>
      <c r="S633" s="501">
        <f>IF(Q633=0,0,(R633-Q633)/Q633*100)</f>
        <v>0</v>
      </c>
      <c r="T633" s="493"/>
      <c r="U633" s="493"/>
      <c r="V633" s="501">
        <f>IF(T633=0,0,(U633-T633)/T633*100)</f>
        <v>0</v>
      </c>
      <c r="W633" s="493"/>
      <c r="X633" s="493"/>
      <c r="Y633" s="501">
        <f>IF(W633=0,0,(X633-W633)/W633*100)</f>
        <v>0</v>
      </c>
      <c r="Z633" s="493"/>
      <c r="AA633" s="493"/>
      <c r="AB633" s="501">
        <f>IF(Z633=0,0,(AA633-Z633)/Z633*100)</f>
        <v>0</v>
      </c>
      <c r="AC633" s="493"/>
      <c r="AD633" s="493"/>
      <c r="AE633" s="501">
        <f>IF(AC633=0,0,(AD633-AC633)/AC633*100)</f>
        <v>0</v>
      </c>
      <c r="AF633" s="493"/>
      <c r="AG633" s="493"/>
      <c r="AH633" s="501">
        <f>IF(AF633=0,0,(AG633-AF633)/AF633*100)</f>
        <v>0</v>
      </c>
      <c r="AI633" s="493"/>
      <c r="AJ633" s="493"/>
      <c r="AK633" s="501">
        <f>IF(AI633=0,0,(AJ633-AI633)/AI633*100)</f>
        <v>0</v>
      </c>
      <c r="AL633" s="493"/>
      <c r="AM633" s="493"/>
      <c r="AN633" s="501">
        <f>IF(AL633=0,0,(AM633-AL633)/AL633*100)</f>
        <v>0</v>
      </c>
      <c r="AO633" s="493"/>
      <c r="AP633" s="493"/>
      <c r="AQ633" s="501">
        <f>IF(AO633=0,0,(AP633-AO633)/AO633*100)</f>
        <v>0</v>
      </c>
      <c r="AR633" s="493"/>
      <c r="AS633" s="493"/>
      <c r="AT633" s="501">
        <f>IF(AR633=0,0,(AS633-AR633)/AR633*100)</f>
        <v>0</v>
      </c>
      <c r="AU633" s="493"/>
      <c r="AV633" s="493"/>
      <c r="AW633" s="501">
        <f>IF(AU633=0,0,(AV633-AU633)/AU633*100)</f>
        <v>0</v>
      </c>
      <c r="AX633" s="493"/>
      <c r="AY633" s="493"/>
      <c r="AZ633" s="501">
        <f>IF(AX633=0,0,(AY633-AX633)/AX633*100)</f>
        <v>0</v>
      </c>
      <c r="BA633" s="493"/>
      <c r="BB633" s="493"/>
      <c r="BC633" s="501">
        <f>IF(BA633=0,0,(BB633-BA633)/BA633*100)</f>
        <v>0</v>
      </c>
      <c r="BD633" s="493"/>
      <c r="BE633" s="493"/>
      <c r="BF633" s="501">
        <f>IF(BD633=0,0,(BE633-BD633)/BD633*100)</f>
        <v>0</v>
      </c>
      <c r="BG633" s="493"/>
      <c r="BH633" s="493"/>
      <c r="BI633" s="501">
        <f>IF(BG633=0,0,(BH633-BG633)/BG633*100)</f>
        <v>0</v>
      </c>
      <c r="BJ633" s="493"/>
      <c r="BK633" s="493"/>
      <c r="BL633" s="501">
        <f>IF(BJ633=0,0,(BK633-BJ633)/BJ633*100)</f>
        <v>0</v>
      </c>
      <c r="BM633" s="493"/>
      <c r="BN633" s="493"/>
      <c r="BO633" s="501">
        <f>IF(BM633=0,0,(BN633-BM633)/BM633*100)</f>
        <v>0</v>
      </c>
      <c r="BP633" s="493"/>
      <c r="BQ633" s="493"/>
      <c r="BR633" s="501">
        <f>IF(BP633=0,0,(BQ633-BP633)/BP633*100)</f>
        <v>0</v>
      </c>
      <c r="BS633" s="493"/>
      <c r="BT633" s="493"/>
      <c r="BU633" s="501">
        <f>IF(BS633=0,0,(BT633-BS633)/BS633*100)</f>
        <v>0</v>
      </c>
      <c r="BV633" s="493"/>
      <c r="BW633" s="493"/>
      <c r="BX633" s="501">
        <f>IF(BV633=0,0,(BW633-BV633)/BV633*100)</f>
        <v>0</v>
      </c>
      <c r="BY633" s="493"/>
      <c r="BZ633" s="493"/>
      <c r="CA633" s="501">
        <f>IF(BY633=0,0,(BZ633-BY633)/BY633*100)</f>
        <v>0</v>
      </c>
      <c r="CB633" s="493"/>
      <c r="CC633" s="493"/>
      <c r="CD633" s="501">
        <f>IF(CB633=0,0,(CC633-CB633)/CB633*100)</f>
        <v>0</v>
      </c>
      <c r="CE633" s="493"/>
      <c r="CF633" s="493"/>
      <c r="CG633" s="501">
        <f>IF(CE633=0,0,(CF633-CE633)/CE633*100)</f>
        <v>0</v>
      </c>
      <c r="CH633" s="493"/>
      <c r="CI633" s="493"/>
      <c r="CJ633" s="501">
        <f>IF(CH633=0,0,(CI633-CH633)/CH633*100)</f>
        <v>0</v>
      </c>
      <c r="CK633" s="493"/>
      <c r="CL633" s="493"/>
      <c r="CM633" s="501">
        <f>IF(CK633=0,0,(CL633-CK633)/CK633*100)</f>
        <v>0</v>
      </c>
      <c r="CN633" s="493"/>
      <c r="CO633" s="493"/>
      <c r="CP633" s="501">
        <f>IF(CN633=0,0,(CO633-CN633)/CN633*100)</f>
        <v>0</v>
      </c>
      <c r="CQ633" s="493"/>
      <c r="CR633" s="493"/>
      <c r="CS633" s="501">
        <f>IF(CQ633=0,0,(CR633-CQ633)/CQ633*100)</f>
        <v>0</v>
      </c>
      <c r="CT633" s="493"/>
      <c r="CU633" s="493"/>
      <c r="CV633" s="501">
        <f>IF(CT633=0,0,(CU633-CT633)/CT633*100)</f>
        <v>0</v>
      </c>
      <c r="CW633" s="493"/>
      <c r="CX633" s="493"/>
      <c r="CY633" s="501">
        <f>IF(CW633=0,0,(CX633-CW633)/CW633*100)</f>
        <v>0</v>
      </c>
      <c r="CZ633" s="493"/>
      <c r="DA633" s="493"/>
      <c r="DB633" s="501">
        <f>IF(CZ633=0,0,(DA633-CZ633)/CZ633*100)</f>
        <v>0</v>
      </c>
      <c r="DC633" s="493"/>
      <c r="DD633" s="493"/>
      <c r="DE633" s="501">
        <f>IF(DC633=0,0,(DD633-DC633)/DC633*100)</f>
        <v>0</v>
      </c>
      <c r="DF633" s="493"/>
      <c r="DG633" s="493"/>
      <c r="DH633" s="501">
        <f>IF(DF633=0,0,(DG633-DF633)/DF633*100)</f>
        <v>0</v>
      </c>
      <c r="DI633" s="493"/>
      <c r="DJ633" s="493"/>
      <c r="DK633" s="501">
        <f>IF(DI633=0,0,(DJ633-DI633)/DI633*100)</f>
        <v>0</v>
      </c>
      <c r="DL633" s="493"/>
      <c r="DM633" s="493"/>
      <c r="DN633" s="501">
        <f>IF(DL633=0,0,(DM633-DL633)/DL633*100)</f>
        <v>0</v>
      </c>
      <c r="DO633" s="493"/>
      <c r="DP633" s="493"/>
      <c r="DQ633" s="501">
        <f>IF(DO633=0,0,(DP633-DO633)/DO633*100)</f>
        <v>0</v>
      </c>
      <c r="DR633" s="493"/>
      <c r="DS633" s="493"/>
      <c r="DT633" s="501">
        <f>IF(DR633=0,0,(DS633-DR633)/DR633*100)</f>
        <v>0</v>
      </c>
      <c r="DU633" s="493"/>
      <c r="DV633" s="493"/>
      <c r="DW633" s="501">
        <f>IF(DU633=0,0,(DV633-DU633)/DU633*100)</f>
        <v>0</v>
      </c>
      <c r="DX633" s="493"/>
      <c r="DY633" s="493"/>
      <c r="DZ633" s="501">
        <f>IF(DX633=0,0,(DY633-DX633)/DX633*100)</f>
        <v>0</v>
      </c>
      <c r="EA633" s="493"/>
      <c r="EB633" s="493"/>
      <c r="EC633" s="501">
        <f>IF(EA633=0,0,(EB633-EA633)/EA633*100)</f>
        <v>0</v>
      </c>
      <c r="ED633" s="493"/>
      <c r="EE633" s="493"/>
      <c r="EF633" s="501">
        <f>IF(ED633=0,0,(EE633-ED633)/ED633*100)</f>
        <v>0</v>
      </c>
      <c r="EG633" s="493"/>
      <c r="EH633" s="493"/>
      <c r="EI633" s="501">
        <f>IF(EG633=0,0,(EH633-EG633)/EG633*100)</f>
        <v>0</v>
      </c>
      <c r="EJ633" s="493"/>
      <c r="EK633" s="493"/>
      <c r="EL633" s="501">
        <f>IF(EJ633=0,0,(EK633-EJ633)/EJ633*100)</f>
        <v>0</v>
      </c>
      <c r="EM633" s="493"/>
      <c r="EN633" s="493"/>
      <c r="EO633" s="501">
        <f>IF(EM633=0,0,(EN633-EM633)/EM633*100)</f>
        <v>0</v>
      </c>
      <c r="EP633" s="493"/>
      <c r="EQ633" s="493"/>
      <c r="ER633" s="501">
        <f>IF(EP633=0,0,(EQ633-EP633)/EP633*100)</f>
        <v>0</v>
      </c>
      <c r="ES633" s="493"/>
      <c r="ET633" s="493"/>
      <c r="EU633" s="501">
        <f>IF(ES633=0,0,(ET633-ES633)/ES633*100)</f>
        <v>0</v>
      </c>
      <c r="EV633" s="493"/>
      <c r="EW633" s="493"/>
      <c r="EX633" s="501">
        <f>IF(EV633=0,0,(EW633-EV633)/EV633*100)</f>
        <v>0</v>
      </c>
      <c r="EY633" s="493"/>
      <c r="EZ633" s="493"/>
      <c r="FA633" s="501">
        <f>IF(EY633=0,0,(EZ633-EY633)/EY633*100)</f>
        <v>0</v>
      </c>
      <c r="FB633" s="493"/>
      <c r="FC633" s="493"/>
      <c r="FD633" s="501">
        <f>IF(FB633=0,0,(FC633-FB633)/FB633*100)</f>
        <v>0</v>
      </c>
      <c r="FE633" s="493"/>
      <c r="FF633" s="493"/>
      <c r="FG633" s="501">
        <f>IF(FE633=0,0,(FF633-FE633)/FE633*100)</f>
        <v>0</v>
      </c>
    </row>
    <row r="634" spans="1:163" s="484" customFormat="1">
      <c r="A634" s="497" t="s">
        <v>1344</v>
      </c>
      <c r="M634" s="485"/>
      <c r="N634" s="485"/>
      <c r="O634" s="485"/>
      <c r="P634" s="485"/>
      <c r="Q634" s="485"/>
      <c r="R634" s="485"/>
      <c r="S634" s="485"/>
      <c r="T634" s="485"/>
      <c r="U634" s="485"/>
      <c r="V634" s="485"/>
      <c r="W634" s="485"/>
      <c r="X634" s="485"/>
      <c r="Y634" s="485"/>
      <c r="Z634" s="485"/>
      <c r="AA634" s="485"/>
      <c r="AB634" s="485"/>
      <c r="AC634" s="485"/>
      <c r="AD634" s="485"/>
      <c r="AE634" s="485"/>
      <c r="AF634" s="485"/>
      <c r="AG634" s="485"/>
      <c r="AH634" s="485"/>
      <c r="AI634" s="485"/>
      <c r="AJ634" s="485"/>
      <c r="AK634" s="485"/>
      <c r="AL634" s="485"/>
      <c r="AM634" s="485"/>
      <c r="AN634" s="485"/>
      <c r="AO634" s="485"/>
      <c r="AP634" s="485"/>
      <c r="AQ634" s="485"/>
    </row>
    <row r="635" spans="1:163" s="509" customFormat="1" ht="13.8" outlineLevel="1">
      <c r="A635" s="509" t="str">
        <f t="shared" ref="A635:A640" ca="1" si="129">OFFSET(A635,-1,0)</f>
        <v>et_List16_line_d</v>
      </c>
      <c r="G635" s="509">
        <f t="shared" ref="G635:G640" ca="1" si="130">OFFSET(G635,-1,0)</f>
        <v>0</v>
      </c>
      <c r="J635" s="1155"/>
      <c r="K635" s="135" t="s">
        <v>265</v>
      </c>
      <c r="L635" s="498"/>
      <c r="M635" s="552"/>
      <c r="N635" s="553"/>
      <c r="O635" s="554"/>
      <c r="P635" s="554"/>
      <c r="Q635" s="553"/>
      <c r="R635" s="554"/>
      <c r="S635" s="554"/>
      <c r="T635" s="553"/>
      <c r="U635" s="554"/>
      <c r="V635" s="554"/>
      <c r="W635" s="553"/>
      <c r="X635" s="554"/>
      <c r="Y635" s="554"/>
      <c r="Z635" s="553"/>
      <c r="AA635" s="554"/>
      <c r="AB635" s="554"/>
      <c r="AC635" s="553"/>
      <c r="AD635" s="554"/>
      <c r="AE635" s="554"/>
      <c r="AF635" s="553"/>
      <c r="AG635" s="554"/>
      <c r="AH635" s="554"/>
      <c r="AI635" s="553"/>
      <c r="AJ635" s="554"/>
      <c r="AK635" s="554"/>
      <c r="AL635" s="553"/>
      <c r="AM635" s="554"/>
      <c r="AN635" s="554"/>
      <c r="AO635" s="553"/>
      <c r="AP635" s="554"/>
      <c r="AQ635" s="554"/>
      <c r="AR635" s="553"/>
      <c r="AS635" s="554"/>
      <c r="AT635" s="554"/>
      <c r="AU635" s="553"/>
      <c r="AV635" s="554"/>
      <c r="AW635" s="554"/>
      <c r="AX635" s="553"/>
      <c r="AY635" s="554"/>
      <c r="AZ635" s="554"/>
      <c r="BA635" s="553"/>
      <c r="BB635" s="554"/>
      <c r="BC635" s="554"/>
      <c r="BD635" s="553"/>
      <c r="BE635" s="554"/>
      <c r="BF635" s="554"/>
      <c r="BG635" s="553"/>
      <c r="BH635" s="554"/>
      <c r="BI635" s="554"/>
      <c r="BJ635" s="553"/>
      <c r="BK635" s="554"/>
      <c r="BL635" s="554"/>
      <c r="BM635" s="553"/>
      <c r="BN635" s="554"/>
      <c r="BO635" s="554"/>
      <c r="BP635" s="553"/>
      <c r="BQ635" s="554"/>
      <c r="BR635" s="554"/>
      <c r="BS635" s="553"/>
      <c r="BT635" s="554"/>
      <c r="BU635" s="554"/>
      <c r="BV635" s="553"/>
      <c r="BW635" s="554"/>
      <c r="BX635" s="554"/>
      <c r="BY635" s="553"/>
      <c r="BZ635" s="554"/>
      <c r="CA635" s="554"/>
      <c r="CB635" s="553"/>
      <c r="CC635" s="554"/>
      <c r="CD635" s="554"/>
      <c r="CE635" s="553"/>
      <c r="CF635" s="554"/>
      <c r="CG635" s="554"/>
      <c r="CH635" s="553"/>
      <c r="CI635" s="554"/>
      <c r="CJ635" s="554"/>
      <c r="CK635" s="553"/>
      <c r="CL635" s="554"/>
      <c r="CM635" s="554"/>
      <c r="CN635" s="553"/>
      <c r="CO635" s="554"/>
      <c r="CP635" s="554"/>
      <c r="CQ635" s="553"/>
      <c r="CR635" s="554"/>
      <c r="CS635" s="554"/>
      <c r="CT635" s="553"/>
      <c r="CU635" s="554"/>
      <c r="CV635" s="554"/>
      <c r="CW635" s="553"/>
      <c r="CX635" s="554"/>
      <c r="CY635" s="554"/>
      <c r="CZ635" s="553"/>
      <c r="DA635" s="554"/>
      <c r="DB635" s="554"/>
      <c r="DC635" s="553"/>
      <c r="DD635" s="554"/>
      <c r="DE635" s="554"/>
      <c r="DF635" s="553"/>
      <c r="DG635" s="554"/>
      <c r="DH635" s="554"/>
      <c r="DI635" s="553"/>
      <c r="DJ635" s="554"/>
      <c r="DK635" s="554"/>
      <c r="DL635" s="553"/>
      <c r="DM635" s="554"/>
      <c r="DN635" s="554"/>
      <c r="DO635" s="553"/>
      <c r="DP635" s="554"/>
      <c r="DQ635" s="554"/>
      <c r="DR635" s="553"/>
      <c r="DS635" s="554"/>
      <c r="DT635" s="554"/>
      <c r="DU635" s="553"/>
      <c r="DV635" s="554"/>
      <c r="DW635" s="554"/>
      <c r="DX635" s="553"/>
      <c r="DY635" s="554"/>
      <c r="DZ635" s="554"/>
      <c r="EA635" s="553"/>
      <c r="EB635" s="554"/>
      <c r="EC635" s="554"/>
      <c r="ED635" s="553"/>
      <c r="EE635" s="554"/>
      <c r="EF635" s="554"/>
      <c r="EG635" s="553"/>
      <c r="EH635" s="554"/>
      <c r="EI635" s="554"/>
      <c r="EJ635" s="553"/>
      <c r="EK635" s="554"/>
      <c r="EL635" s="554"/>
      <c r="EM635" s="553"/>
      <c r="EN635" s="554"/>
      <c r="EO635" s="554"/>
      <c r="EP635" s="553"/>
      <c r="EQ635" s="554"/>
      <c r="ER635" s="554"/>
      <c r="ES635" s="553"/>
      <c r="ET635" s="554"/>
      <c r="EU635" s="554"/>
      <c r="EV635" s="553"/>
      <c r="EW635" s="554"/>
      <c r="EX635" s="554"/>
      <c r="EY635" s="553"/>
      <c r="EZ635" s="554"/>
      <c r="FA635" s="554"/>
      <c r="FB635" s="553"/>
      <c r="FC635" s="554"/>
      <c r="FD635" s="554"/>
      <c r="FE635" s="553"/>
      <c r="FF635" s="554"/>
      <c r="FG635" s="555"/>
    </row>
    <row r="636" spans="1:163" s="509" customFormat="1" ht="22.8" outlineLevel="1">
      <c r="A636" s="509" t="str">
        <f t="shared" ca="1" si="129"/>
        <v>et_List16_line_d</v>
      </c>
      <c r="C636" s="509" t="s">
        <v>1440</v>
      </c>
      <c r="D636" s="551">
        <f>L635</f>
        <v>0</v>
      </c>
      <c r="G636" s="509">
        <f t="shared" ca="1" si="130"/>
        <v>0</v>
      </c>
      <c r="J636" s="1155"/>
      <c r="K636" s="135"/>
      <c r="L636" s="356" t="s">
        <v>668</v>
      </c>
      <c r="M636" s="499" t="s">
        <v>655</v>
      </c>
      <c r="N636" s="354">
        <f>IF(N638=0,0,(N637*N638+N639*N640*6)/N638)</f>
        <v>0</v>
      </c>
      <c r="O636" s="354">
        <f>IF(O638=0,0,(O637*O638+O639*O640*6)/O638)</f>
        <v>0</v>
      </c>
      <c r="P636" s="353">
        <f>IF(N636=0,0,(O636-N636)/N636*100)</f>
        <v>0</v>
      </c>
      <c r="Q636" s="354">
        <f>IF(Q638=0,0,(Q637*Q638+Q639*Q640*6)/Q638)</f>
        <v>0</v>
      </c>
      <c r="R636" s="354">
        <f>IF(R638=0,0,(R637*R638+R639*R640*6)/R638)</f>
        <v>0</v>
      </c>
      <c r="S636" s="353">
        <f>IF(Q636=0,0,(R636-Q636)/Q636*100)</f>
        <v>0</v>
      </c>
      <c r="T636" s="354">
        <f>IF(T638=0,0,(T637*T638+T639*T640*6)/T638)</f>
        <v>0</v>
      </c>
      <c r="U636" s="354">
        <f>IF(U638=0,0,(U637*U638+U639*U640*6)/U638)</f>
        <v>0</v>
      </c>
      <c r="V636" s="353">
        <f>IF(T636=0,0,(U636-T636)/T636*100)</f>
        <v>0</v>
      </c>
      <c r="W636" s="354">
        <f>IF(W638=0,0,(W637*W638+W639*W640*6)/W638)</f>
        <v>0</v>
      </c>
      <c r="X636" s="354">
        <f>IF(X638=0,0,(X637*X638+X639*X640*6)/X638)</f>
        <v>0</v>
      </c>
      <c r="Y636" s="353">
        <f>IF(W636=0,0,(X636-W636)/W636*100)</f>
        <v>0</v>
      </c>
      <c r="Z636" s="354">
        <f>IF(Z638=0,0,(Z637*Z638+Z639*Z640*6)/Z638)</f>
        <v>0</v>
      </c>
      <c r="AA636" s="354">
        <f>IF(AA638=0,0,(AA637*AA638+AA639*AA640*6)/AA638)</f>
        <v>0</v>
      </c>
      <c r="AB636" s="353">
        <f>IF(Z636=0,0,(AA636-Z636)/Z636*100)</f>
        <v>0</v>
      </c>
      <c r="AC636" s="354">
        <f>IF(AC638=0,0,(AC637*AC638+AC639*AC640*6)/AC638)</f>
        <v>0</v>
      </c>
      <c r="AD636" s="354">
        <f>IF(AD638=0,0,(AD637*AD638+AD639*AD640*6)/AD638)</f>
        <v>0</v>
      </c>
      <c r="AE636" s="353">
        <f>IF(AC636=0,0,(AD636-AC636)/AC636*100)</f>
        <v>0</v>
      </c>
      <c r="AF636" s="354">
        <f>IF(AF638=0,0,(AF637*AF638+AF639*AF640*6)/AF638)</f>
        <v>0</v>
      </c>
      <c r="AG636" s="354">
        <f>IF(AG638=0,0,(AG637*AG638+AG639*AG640*6)/AG638)</f>
        <v>0</v>
      </c>
      <c r="AH636" s="353">
        <f>IF(AF636=0,0,(AG636-AF636)/AF636*100)</f>
        <v>0</v>
      </c>
      <c r="AI636" s="354">
        <f>IF(AI638=0,0,(AI637*AI638+AI639*AI640*6)/AI638)</f>
        <v>0</v>
      </c>
      <c r="AJ636" s="354">
        <f>IF(AJ638=0,0,(AJ637*AJ638+AJ639*AJ640*6)/AJ638)</f>
        <v>0</v>
      </c>
      <c r="AK636" s="353">
        <f>IF(AI636=0,0,(AJ636-AI636)/AI636*100)</f>
        <v>0</v>
      </c>
      <c r="AL636" s="354">
        <f>IF(AL638=0,0,(AL637*AL638+AL639*AL640*6)/AL638)</f>
        <v>0</v>
      </c>
      <c r="AM636" s="354">
        <f>IF(AM638=0,0,(AM637*AM638+AM639*AM640*6)/AM638)</f>
        <v>0</v>
      </c>
      <c r="AN636" s="353">
        <f>IF(AL636=0,0,(AM636-AL636)/AL636*100)</f>
        <v>0</v>
      </c>
      <c r="AO636" s="354">
        <f>IF(AO638=0,0,(AO637*AO638+AO639*AO640*6)/AO638)</f>
        <v>0</v>
      </c>
      <c r="AP636" s="354">
        <f>IF(AP638=0,0,(AP637*AP638+AP639*AP640*6)/AP638)</f>
        <v>0</v>
      </c>
      <c r="AQ636" s="353">
        <f>IF(AO636=0,0,(AP636-AO636)/AO636*100)</f>
        <v>0</v>
      </c>
      <c r="AR636" s="354">
        <f>IF(AR638=0,0,(AR637*AR638+AR639*AR640*6)/AR638)</f>
        <v>0</v>
      </c>
      <c r="AS636" s="354">
        <f>IF(AS638=0,0,(AS637*AS638+AS639*AS640*6)/AS638)</f>
        <v>0</v>
      </c>
      <c r="AT636" s="353">
        <f>IF(AR636=0,0,(AS636-AR636)/AR636*100)</f>
        <v>0</v>
      </c>
      <c r="AU636" s="354">
        <f>IF(AU638=0,0,(AU637*AU638+AU639*AU640*6)/AU638)</f>
        <v>0</v>
      </c>
      <c r="AV636" s="354">
        <f>IF(AV638=0,0,(AV637*AV638+AV639*AV640*6)/AV638)</f>
        <v>0</v>
      </c>
      <c r="AW636" s="353">
        <f>IF(AU636=0,0,(AV636-AU636)/AU636*100)</f>
        <v>0</v>
      </c>
      <c r="AX636" s="354">
        <f>IF(AX638=0,0,(AX637*AX638+AX639*AX640*6)/AX638)</f>
        <v>0</v>
      </c>
      <c r="AY636" s="354">
        <f>IF(AY638=0,0,(AY637*AY638+AY639*AY640*6)/AY638)</f>
        <v>0</v>
      </c>
      <c r="AZ636" s="353">
        <f>IF(AX636=0,0,(AY636-AX636)/AX636*100)</f>
        <v>0</v>
      </c>
      <c r="BA636" s="354">
        <f>IF(BA638=0,0,(BA637*BA638+BA639*BA640*6)/BA638)</f>
        <v>0</v>
      </c>
      <c r="BB636" s="354">
        <f>IF(BB638=0,0,(BB637*BB638+BB639*BB640*6)/BB638)</f>
        <v>0</v>
      </c>
      <c r="BC636" s="353">
        <f>IF(BA636=0,0,(BB636-BA636)/BA636*100)</f>
        <v>0</v>
      </c>
      <c r="BD636" s="354">
        <f>IF(BD638=0,0,(BD637*BD638+BD639*BD640*6)/BD638)</f>
        <v>0</v>
      </c>
      <c r="BE636" s="354">
        <f>IF(BE638=0,0,(BE637*BE638+BE639*BE640*6)/BE638)</f>
        <v>0</v>
      </c>
      <c r="BF636" s="353">
        <f>IF(BD636=0,0,(BE636-BD636)/BD636*100)</f>
        <v>0</v>
      </c>
      <c r="BG636" s="354">
        <f>IF(BG638=0,0,(BG637*BG638+BG639*BG640*6)/BG638)</f>
        <v>0</v>
      </c>
      <c r="BH636" s="354">
        <f>IF(BH638=0,0,(BH637*BH638+BH639*BH640*6)/BH638)</f>
        <v>0</v>
      </c>
      <c r="BI636" s="353">
        <f>IF(BG636=0,0,(BH636-BG636)/BG636*100)</f>
        <v>0</v>
      </c>
      <c r="BJ636" s="354">
        <f>IF(BJ638=0,0,(BJ637*BJ638+BJ639*BJ640*6)/BJ638)</f>
        <v>0</v>
      </c>
      <c r="BK636" s="354">
        <f>IF(BK638=0,0,(BK637*BK638+BK639*BK640*6)/BK638)</f>
        <v>0</v>
      </c>
      <c r="BL636" s="353">
        <f>IF(BJ636=0,0,(BK636-BJ636)/BJ636*100)</f>
        <v>0</v>
      </c>
      <c r="BM636" s="354">
        <f>IF(BM638=0,0,(BM637*BM638+BM639*BM640*6)/BM638)</f>
        <v>0</v>
      </c>
      <c r="BN636" s="354">
        <f>IF(BN638=0,0,(BN637*BN638+BN639*BN640*6)/BN638)</f>
        <v>0</v>
      </c>
      <c r="BO636" s="353">
        <f>IF(BM636=0,0,(BN636-BM636)/BM636*100)</f>
        <v>0</v>
      </c>
      <c r="BP636" s="354">
        <f>IF(BP638=0,0,(BP637*BP638+BP639*BP640*6)/BP638)</f>
        <v>0</v>
      </c>
      <c r="BQ636" s="354">
        <f>IF(BQ638=0,0,(BQ637*BQ638+BQ639*BQ640*6)/BQ638)</f>
        <v>0</v>
      </c>
      <c r="BR636" s="353">
        <f>IF(BP636=0,0,(BQ636-BP636)/BP636*100)</f>
        <v>0</v>
      </c>
      <c r="BS636" s="354">
        <f>IF(BS638=0,0,(BS637*BS638+BS639*BS640*6)/BS638)</f>
        <v>0</v>
      </c>
      <c r="BT636" s="354">
        <f>IF(BT638=0,0,(BT637*BT638+BT639*BT640*6)/BT638)</f>
        <v>0</v>
      </c>
      <c r="BU636" s="353">
        <f>IF(BS636=0,0,(BT636-BS636)/BS636*100)</f>
        <v>0</v>
      </c>
      <c r="BV636" s="354">
        <f>IF(BV638=0,0,(BV637*BV638+BV639*BV640*6)/BV638)</f>
        <v>0</v>
      </c>
      <c r="BW636" s="354">
        <f>IF(BW638=0,0,(BW637*BW638+BW639*BW640*6)/BW638)</f>
        <v>0</v>
      </c>
      <c r="BX636" s="353">
        <f>IF(BV636=0,0,(BW636-BV636)/BV636*100)</f>
        <v>0</v>
      </c>
      <c r="BY636" s="354">
        <f>IF(BY638=0,0,(BY637*BY638+BY639*BY640*6)/BY638)</f>
        <v>0</v>
      </c>
      <c r="BZ636" s="354">
        <f>IF(BZ638=0,0,(BZ637*BZ638+BZ639*BZ640*6)/BZ638)</f>
        <v>0</v>
      </c>
      <c r="CA636" s="353">
        <f>IF(BY636=0,0,(BZ636-BY636)/BY636*100)</f>
        <v>0</v>
      </c>
      <c r="CB636" s="354">
        <f>IF(CB638=0,0,(CB637*CB638+CB639*CB640*6)/CB638)</f>
        <v>0</v>
      </c>
      <c r="CC636" s="354">
        <f>IF(CC638=0,0,(CC637*CC638+CC639*CC640*6)/CC638)</f>
        <v>0</v>
      </c>
      <c r="CD636" s="353">
        <f>IF(CB636=0,0,(CC636-CB636)/CB636*100)</f>
        <v>0</v>
      </c>
      <c r="CE636" s="354">
        <f>IF(CE638=0,0,(CE637*CE638+CE639*CE640*6)/CE638)</f>
        <v>0</v>
      </c>
      <c r="CF636" s="354">
        <f>IF(CF638=0,0,(CF637*CF638+CF639*CF640*6)/CF638)</f>
        <v>0</v>
      </c>
      <c r="CG636" s="353">
        <f>IF(CE636=0,0,(CF636-CE636)/CE636*100)</f>
        <v>0</v>
      </c>
      <c r="CH636" s="354">
        <f>IF(CH638=0,0,(CH637*CH638+CH639*CH640*6)/CH638)</f>
        <v>0</v>
      </c>
      <c r="CI636" s="354">
        <f>IF(CI638=0,0,(CI637*CI638+CI639*CI640*6)/CI638)</f>
        <v>0</v>
      </c>
      <c r="CJ636" s="353">
        <f>IF(CH636=0,0,(CI636-CH636)/CH636*100)</f>
        <v>0</v>
      </c>
      <c r="CK636" s="354">
        <f>IF(CK638=0,0,(CK637*CK638+CK639*CK640*6)/CK638)</f>
        <v>0</v>
      </c>
      <c r="CL636" s="354">
        <f>IF(CL638=0,0,(CL637*CL638+CL639*CL640*6)/CL638)</f>
        <v>0</v>
      </c>
      <c r="CM636" s="353">
        <f>IF(CK636=0,0,(CL636-CK636)/CK636*100)</f>
        <v>0</v>
      </c>
      <c r="CN636" s="354">
        <f>IF(CN638=0,0,(CN637*CN638+CN639*CN640*6)/CN638)</f>
        <v>0</v>
      </c>
      <c r="CO636" s="354">
        <f>IF(CO638=0,0,(CO637*CO638+CO639*CO640*6)/CO638)</f>
        <v>0</v>
      </c>
      <c r="CP636" s="353">
        <f>IF(CN636=0,0,(CO636-CN636)/CN636*100)</f>
        <v>0</v>
      </c>
      <c r="CQ636" s="354">
        <f>IF(CQ638=0,0,(CQ637*CQ638+CQ639*CQ640*6)/CQ638)</f>
        <v>0</v>
      </c>
      <c r="CR636" s="354">
        <f>IF(CR638=0,0,(CR637*CR638+CR639*CR640*6)/CR638)</f>
        <v>0</v>
      </c>
      <c r="CS636" s="353">
        <f>IF(CQ636=0,0,(CR636-CQ636)/CQ636*100)</f>
        <v>0</v>
      </c>
      <c r="CT636" s="354">
        <f>IF(CT638=0,0,(CT637*CT638+CT639*CT640*6)/CT638)</f>
        <v>0</v>
      </c>
      <c r="CU636" s="354">
        <f>IF(CU638=0,0,(CU637*CU638+CU639*CU640*6)/CU638)</f>
        <v>0</v>
      </c>
      <c r="CV636" s="353">
        <f>IF(CT636=0,0,(CU636-CT636)/CT636*100)</f>
        <v>0</v>
      </c>
      <c r="CW636" s="354">
        <f>IF(CW638=0,0,(CW637*CW638+CW639*CW640*6)/CW638)</f>
        <v>0</v>
      </c>
      <c r="CX636" s="354">
        <f>IF(CX638=0,0,(CX637*CX638+CX639*CX640*6)/CX638)</f>
        <v>0</v>
      </c>
      <c r="CY636" s="353">
        <f>IF(CW636=0,0,(CX636-CW636)/CW636*100)</f>
        <v>0</v>
      </c>
      <c r="CZ636" s="354">
        <f>IF(CZ638=0,0,(CZ637*CZ638+CZ639*CZ640*6)/CZ638)</f>
        <v>0</v>
      </c>
      <c r="DA636" s="354">
        <f>IF(DA638=0,0,(DA637*DA638+DA639*DA640*6)/DA638)</f>
        <v>0</v>
      </c>
      <c r="DB636" s="353">
        <f>IF(CZ636=0,0,(DA636-CZ636)/CZ636*100)</f>
        <v>0</v>
      </c>
      <c r="DC636" s="354">
        <f>IF(DC638=0,0,(DC637*DC638+DC639*DC640*6)/DC638)</f>
        <v>0</v>
      </c>
      <c r="DD636" s="354">
        <f>IF(DD638=0,0,(DD637*DD638+DD639*DD640*6)/DD638)</f>
        <v>0</v>
      </c>
      <c r="DE636" s="353">
        <f>IF(DC636=0,0,(DD636-DC636)/DC636*100)</f>
        <v>0</v>
      </c>
      <c r="DF636" s="354">
        <f>IF(DF638=0,0,(DF637*DF638+DF639*DF640*6)/DF638)</f>
        <v>0</v>
      </c>
      <c r="DG636" s="354">
        <f>IF(DG638=0,0,(DG637*DG638+DG639*DG640*6)/DG638)</f>
        <v>0</v>
      </c>
      <c r="DH636" s="353">
        <f>IF(DF636=0,0,(DG636-DF636)/DF636*100)</f>
        <v>0</v>
      </c>
      <c r="DI636" s="354">
        <f>IF(DI638=0,0,(DI637*DI638+DI639*DI640*6)/DI638)</f>
        <v>0</v>
      </c>
      <c r="DJ636" s="354">
        <f>IF(DJ638=0,0,(DJ637*DJ638+DJ639*DJ640*6)/DJ638)</f>
        <v>0</v>
      </c>
      <c r="DK636" s="353">
        <f>IF(DI636=0,0,(DJ636-DI636)/DI636*100)</f>
        <v>0</v>
      </c>
      <c r="DL636" s="354">
        <f>IF(DL638=0,0,(DL637*DL638+DL639*DL640*6)/DL638)</f>
        <v>0</v>
      </c>
      <c r="DM636" s="354">
        <f>IF(DM638=0,0,(DM637*DM638+DM639*DM640*6)/DM638)</f>
        <v>0</v>
      </c>
      <c r="DN636" s="353">
        <f>IF(DL636=0,0,(DM636-DL636)/DL636*100)</f>
        <v>0</v>
      </c>
      <c r="DO636" s="354">
        <f>IF(DO638=0,0,(DO637*DO638+DO639*DO640*6)/DO638)</f>
        <v>0</v>
      </c>
      <c r="DP636" s="354">
        <f>IF(DP638=0,0,(DP637*DP638+DP639*DP640*6)/DP638)</f>
        <v>0</v>
      </c>
      <c r="DQ636" s="353">
        <f>IF(DO636=0,0,(DP636-DO636)/DO636*100)</f>
        <v>0</v>
      </c>
      <c r="DR636" s="354">
        <f>IF(DR638=0,0,(DR637*DR638+DR639*DR640*6)/DR638)</f>
        <v>0</v>
      </c>
      <c r="DS636" s="354">
        <f>IF(DS638=0,0,(DS637*DS638+DS639*DS640*6)/DS638)</f>
        <v>0</v>
      </c>
      <c r="DT636" s="353">
        <f>IF(DR636=0,0,(DS636-DR636)/DR636*100)</f>
        <v>0</v>
      </c>
      <c r="DU636" s="354">
        <f>IF(DU638=0,0,(DU637*DU638+DU639*DU640*6)/DU638)</f>
        <v>0</v>
      </c>
      <c r="DV636" s="354">
        <f>IF(DV638=0,0,(DV637*DV638+DV639*DV640*6)/DV638)</f>
        <v>0</v>
      </c>
      <c r="DW636" s="353">
        <f>IF(DU636=0,0,(DV636-DU636)/DU636*100)</f>
        <v>0</v>
      </c>
      <c r="DX636" s="354">
        <f>IF(DX638=0,0,(DX637*DX638+DX639*DX640*6)/DX638)</f>
        <v>0</v>
      </c>
      <c r="DY636" s="354">
        <f>IF(DY638=0,0,(DY637*DY638+DY639*DY640*6)/DY638)</f>
        <v>0</v>
      </c>
      <c r="DZ636" s="353">
        <f>IF(DX636=0,0,(DY636-DX636)/DX636*100)</f>
        <v>0</v>
      </c>
      <c r="EA636" s="354">
        <f>IF(EA638=0,0,(EA637*EA638+EA639*EA640*6)/EA638)</f>
        <v>0</v>
      </c>
      <c r="EB636" s="354">
        <f>IF(EB638=0,0,(EB637*EB638+EB639*EB640*6)/EB638)</f>
        <v>0</v>
      </c>
      <c r="EC636" s="353">
        <f>IF(EA636=0,0,(EB636-EA636)/EA636*100)</f>
        <v>0</v>
      </c>
      <c r="ED636" s="354">
        <f>IF(ED638=0,0,(ED637*ED638+ED639*ED640*6)/ED638)</f>
        <v>0</v>
      </c>
      <c r="EE636" s="354">
        <f>IF(EE638=0,0,(EE637*EE638+EE639*EE640*6)/EE638)</f>
        <v>0</v>
      </c>
      <c r="EF636" s="353">
        <f>IF(ED636=0,0,(EE636-ED636)/ED636*100)</f>
        <v>0</v>
      </c>
      <c r="EG636" s="354">
        <f>IF(EG638=0,0,(EG637*EG638+EG639*EG640*6)/EG638)</f>
        <v>0</v>
      </c>
      <c r="EH636" s="354">
        <f>IF(EH638=0,0,(EH637*EH638+EH639*EH640*6)/EH638)</f>
        <v>0</v>
      </c>
      <c r="EI636" s="353">
        <f>IF(EG636=0,0,(EH636-EG636)/EG636*100)</f>
        <v>0</v>
      </c>
      <c r="EJ636" s="354">
        <f>IF(EJ638=0,0,(EJ637*EJ638+EJ639*EJ640*6)/EJ638)</f>
        <v>0</v>
      </c>
      <c r="EK636" s="354">
        <f>IF(EK638=0,0,(EK637*EK638+EK639*EK640*6)/EK638)</f>
        <v>0</v>
      </c>
      <c r="EL636" s="353">
        <f>IF(EJ636=0,0,(EK636-EJ636)/EJ636*100)</f>
        <v>0</v>
      </c>
      <c r="EM636" s="354">
        <f>IF(EM638=0,0,(EM637*EM638+EM639*EM640*6)/EM638)</f>
        <v>0</v>
      </c>
      <c r="EN636" s="354">
        <f>IF(EN638=0,0,(EN637*EN638+EN639*EN640*6)/EN638)</f>
        <v>0</v>
      </c>
      <c r="EO636" s="353">
        <f>IF(EM636=0,0,(EN636-EM636)/EM636*100)</f>
        <v>0</v>
      </c>
      <c r="EP636" s="354">
        <f>IF(EP638=0,0,(EP637*EP638+EP639*EP640*6)/EP638)</f>
        <v>0</v>
      </c>
      <c r="EQ636" s="354">
        <f>IF(EQ638=0,0,(EQ637*EQ638+EQ639*EQ640*6)/EQ638)</f>
        <v>0</v>
      </c>
      <c r="ER636" s="353">
        <f>IF(EP636=0,0,(EQ636-EP636)/EP636*100)</f>
        <v>0</v>
      </c>
      <c r="ES636" s="354">
        <f>IF(ES638=0,0,(ES637*ES638+ES639*ES640*6)/ES638)</f>
        <v>0</v>
      </c>
      <c r="ET636" s="354">
        <f>IF(ET638=0,0,(ET637*ET638+ET639*ET640*6)/ET638)</f>
        <v>0</v>
      </c>
      <c r="EU636" s="353">
        <f>IF(ES636=0,0,(ET636-ES636)/ES636*100)</f>
        <v>0</v>
      </c>
      <c r="EV636" s="354">
        <f>IF(EV638=0,0,(EV637*EV638+EV639*EV640*6)/EV638)</f>
        <v>0</v>
      </c>
      <c r="EW636" s="354">
        <f>IF(EW638=0,0,(EW637*EW638+EW639*EW640*6)/EW638)</f>
        <v>0</v>
      </c>
      <c r="EX636" s="353">
        <f>IF(EV636=0,0,(EW636-EV636)/EV636*100)</f>
        <v>0</v>
      </c>
      <c r="EY636" s="354">
        <f>IF(EY638=0,0,(EY637*EY638+EY639*EY640*6)/EY638)</f>
        <v>0</v>
      </c>
      <c r="EZ636" s="354">
        <f>IF(EZ638=0,0,(EZ637*EZ638+EZ639*EZ640*6)/EZ638)</f>
        <v>0</v>
      </c>
      <c r="FA636" s="353">
        <f>IF(EY636=0,0,(EZ636-EY636)/EY636*100)</f>
        <v>0</v>
      </c>
      <c r="FB636" s="354">
        <f>IF(FB638=0,0,(FB637*FB638+FB639*FB640*6)/FB638)</f>
        <v>0</v>
      </c>
      <c r="FC636" s="354">
        <f>IF(FC638=0,0,(FC637*FC638+FC639*FC640*6)/FC638)</f>
        <v>0</v>
      </c>
      <c r="FD636" s="353">
        <f>IF(FB636=0,0,(FC636-FB636)/FB636*100)</f>
        <v>0</v>
      </c>
      <c r="FE636" s="354">
        <f>IF(FE638=0,0,(FE637*FE638+FE639*FE640*6)/FE638)</f>
        <v>0</v>
      </c>
      <c r="FF636" s="354">
        <f>IF(FF638=0,0,(FF637*FF638+FF639*FF640*6)/FF638)</f>
        <v>0</v>
      </c>
      <c r="FG636" s="353">
        <f>IF(FE636=0,0,(FF636-FE636)/FE636*100)</f>
        <v>0</v>
      </c>
    </row>
    <row r="637" spans="1:163" s="509" customFormat="1" ht="22.8" outlineLevel="1">
      <c r="A637" s="509" t="str">
        <f t="shared" ca="1" si="129"/>
        <v>et_List16_line_d</v>
      </c>
      <c r="C637" s="509" t="s">
        <v>1441</v>
      </c>
      <c r="D637" s="551">
        <f>D636</f>
        <v>0</v>
      </c>
      <c r="G637" s="509">
        <f t="shared" ca="1" si="130"/>
        <v>0</v>
      </c>
      <c r="J637" s="1155"/>
      <c r="K637" s="135"/>
      <c r="L637" s="356" t="s">
        <v>669</v>
      </c>
      <c r="M637" s="499" t="s">
        <v>655</v>
      </c>
      <c r="N637" s="354"/>
      <c r="O637" s="354"/>
      <c r="P637" s="353">
        <f>IF(N637=0,0,(O637-N637)/N637*100)</f>
        <v>0</v>
      </c>
      <c r="Q637" s="354"/>
      <c r="R637" s="354"/>
      <c r="S637" s="353">
        <f>IF(Q637=0,0,(R637-Q637)/Q637*100)</f>
        <v>0</v>
      </c>
      <c r="T637" s="354"/>
      <c r="U637" s="354"/>
      <c r="V637" s="353">
        <f>IF(T637=0,0,(U637-T637)/T637*100)</f>
        <v>0</v>
      </c>
      <c r="W637" s="354"/>
      <c r="X637" s="354"/>
      <c r="Y637" s="353">
        <f>IF(W637=0,0,(X637-W637)/W637*100)</f>
        <v>0</v>
      </c>
      <c r="Z637" s="354"/>
      <c r="AA637" s="354"/>
      <c r="AB637" s="353">
        <f>IF(Z637=0,0,(AA637-Z637)/Z637*100)</f>
        <v>0</v>
      </c>
      <c r="AC637" s="354"/>
      <c r="AD637" s="354"/>
      <c r="AE637" s="353">
        <f>IF(AC637=0,0,(AD637-AC637)/AC637*100)</f>
        <v>0</v>
      </c>
      <c r="AF637" s="354"/>
      <c r="AG637" s="354"/>
      <c r="AH637" s="353">
        <f>IF(AF637=0,0,(AG637-AF637)/AF637*100)</f>
        <v>0</v>
      </c>
      <c r="AI637" s="354"/>
      <c r="AJ637" s="354"/>
      <c r="AK637" s="353">
        <f>IF(AI637=0,0,(AJ637-AI637)/AI637*100)</f>
        <v>0</v>
      </c>
      <c r="AL637" s="354"/>
      <c r="AM637" s="354"/>
      <c r="AN637" s="353">
        <f>IF(AL637=0,0,(AM637-AL637)/AL637*100)</f>
        <v>0</v>
      </c>
      <c r="AO637" s="354"/>
      <c r="AP637" s="354"/>
      <c r="AQ637" s="353">
        <f>IF(AO637=0,0,(AP637-AO637)/AO637*100)</f>
        <v>0</v>
      </c>
      <c r="AR637" s="354"/>
      <c r="AS637" s="354"/>
      <c r="AT637" s="353">
        <f>IF(AR637=0,0,(AS637-AR637)/AR637*100)</f>
        <v>0</v>
      </c>
      <c r="AU637" s="354"/>
      <c r="AV637" s="354"/>
      <c r="AW637" s="353">
        <f>IF(AU637=0,0,(AV637-AU637)/AU637*100)</f>
        <v>0</v>
      </c>
      <c r="AX637" s="354"/>
      <c r="AY637" s="354"/>
      <c r="AZ637" s="353">
        <f>IF(AX637=0,0,(AY637-AX637)/AX637*100)</f>
        <v>0</v>
      </c>
      <c r="BA637" s="354"/>
      <c r="BB637" s="354"/>
      <c r="BC637" s="353">
        <f>IF(BA637=0,0,(BB637-BA637)/BA637*100)</f>
        <v>0</v>
      </c>
      <c r="BD637" s="354"/>
      <c r="BE637" s="354"/>
      <c r="BF637" s="353">
        <f>IF(BD637=0,0,(BE637-BD637)/BD637*100)</f>
        <v>0</v>
      </c>
      <c r="BG637" s="354"/>
      <c r="BH637" s="354"/>
      <c r="BI637" s="353">
        <f>IF(BG637=0,0,(BH637-BG637)/BG637*100)</f>
        <v>0</v>
      </c>
      <c r="BJ637" s="354"/>
      <c r="BK637" s="354"/>
      <c r="BL637" s="353">
        <f>IF(BJ637=0,0,(BK637-BJ637)/BJ637*100)</f>
        <v>0</v>
      </c>
      <c r="BM637" s="354"/>
      <c r="BN637" s="354"/>
      <c r="BO637" s="353">
        <f>IF(BM637=0,0,(BN637-BM637)/BM637*100)</f>
        <v>0</v>
      </c>
      <c r="BP637" s="354"/>
      <c r="BQ637" s="354"/>
      <c r="BR637" s="353">
        <f>IF(BP637=0,0,(BQ637-BP637)/BP637*100)</f>
        <v>0</v>
      </c>
      <c r="BS637" s="354"/>
      <c r="BT637" s="354"/>
      <c r="BU637" s="353">
        <f>IF(BS637=0,0,(BT637-BS637)/BS637*100)</f>
        <v>0</v>
      </c>
      <c r="BV637" s="354"/>
      <c r="BW637" s="354"/>
      <c r="BX637" s="353">
        <f>IF(BV637=0,0,(BW637-BV637)/BV637*100)</f>
        <v>0</v>
      </c>
      <c r="BY637" s="354"/>
      <c r="BZ637" s="354"/>
      <c r="CA637" s="353">
        <f>IF(BY637=0,0,(BZ637-BY637)/BY637*100)</f>
        <v>0</v>
      </c>
      <c r="CB637" s="354"/>
      <c r="CC637" s="354"/>
      <c r="CD637" s="353">
        <f>IF(CB637=0,0,(CC637-CB637)/CB637*100)</f>
        <v>0</v>
      </c>
      <c r="CE637" s="354"/>
      <c r="CF637" s="354"/>
      <c r="CG637" s="353">
        <f>IF(CE637=0,0,(CF637-CE637)/CE637*100)</f>
        <v>0</v>
      </c>
      <c r="CH637" s="354"/>
      <c r="CI637" s="354"/>
      <c r="CJ637" s="353">
        <f>IF(CH637=0,0,(CI637-CH637)/CH637*100)</f>
        <v>0</v>
      </c>
      <c r="CK637" s="354"/>
      <c r="CL637" s="354"/>
      <c r="CM637" s="353">
        <f>IF(CK637=0,0,(CL637-CK637)/CK637*100)</f>
        <v>0</v>
      </c>
      <c r="CN637" s="354"/>
      <c r="CO637" s="354"/>
      <c r="CP637" s="353">
        <f>IF(CN637=0,0,(CO637-CN637)/CN637*100)</f>
        <v>0</v>
      </c>
      <c r="CQ637" s="354"/>
      <c r="CR637" s="354"/>
      <c r="CS637" s="353">
        <f>IF(CQ637=0,0,(CR637-CQ637)/CQ637*100)</f>
        <v>0</v>
      </c>
      <c r="CT637" s="354"/>
      <c r="CU637" s="354"/>
      <c r="CV637" s="353">
        <f>IF(CT637=0,0,(CU637-CT637)/CT637*100)</f>
        <v>0</v>
      </c>
      <c r="CW637" s="354"/>
      <c r="CX637" s="354"/>
      <c r="CY637" s="353">
        <f>IF(CW637=0,0,(CX637-CW637)/CW637*100)</f>
        <v>0</v>
      </c>
      <c r="CZ637" s="354"/>
      <c r="DA637" s="354"/>
      <c r="DB637" s="353">
        <f>IF(CZ637=0,0,(DA637-CZ637)/CZ637*100)</f>
        <v>0</v>
      </c>
      <c r="DC637" s="354"/>
      <c r="DD637" s="354"/>
      <c r="DE637" s="353">
        <f>IF(DC637=0,0,(DD637-DC637)/DC637*100)</f>
        <v>0</v>
      </c>
      <c r="DF637" s="354"/>
      <c r="DG637" s="354"/>
      <c r="DH637" s="353">
        <f>IF(DF637=0,0,(DG637-DF637)/DF637*100)</f>
        <v>0</v>
      </c>
      <c r="DI637" s="354"/>
      <c r="DJ637" s="354"/>
      <c r="DK637" s="353">
        <f>IF(DI637=0,0,(DJ637-DI637)/DI637*100)</f>
        <v>0</v>
      </c>
      <c r="DL637" s="354"/>
      <c r="DM637" s="354"/>
      <c r="DN637" s="353">
        <f>IF(DL637=0,0,(DM637-DL637)/DL637*100)</f>
        <v>0</v>
      </c>
      <c r="DO637" s="354"/>
      <c r="DP637" s="354"/>
      <c r="DQ637" s="353">
        <f>IF(DO637=0,0,(DP637-DO637)/DO637*100)</f>
        <v>0</v>
      </c>
      <c r="DR637" s="354"/>
      <c r="DS637" s="354"/>
      <c r="DT637" s="353">
        <f>IF(DR637=0,0,(DS637-DR637)/DR637*100)</f>
        <v>0</v>
      </c>
      <c r="DU637" s="354"/>
      <c r="DV637" s="354"/>
      <c r="DW637" s="353">
        <f>IF(DU637=0,0,(DV637-DU637)/DU637*100)</f>
        <v>0</v>
      </c>
      <c r="DX637" s="354"/>
      <c r="DY637" s="354"/>
      <c r="DZ637" s="353">
        <f>IF(DX637=0,0,(DY637-DX637)/DX637*100)</f>
        <v>0</v>
      </c>
      <c r="EA637" s="354"/>
      <c r="EB637" s="354"/>
      <c r="EC637" s="353">
        <f>IF(EA637=0,0,(EB637-EA637)/EA637*100)</f>
        <v>0</v>
      </c>
      <c r="ED637" s="354"/>
      <c r="EE637" s="354"/>
      <c r="EF637" s="353">
        <f>IF(ED637=0,0,(EE637-ED637)/ED637*100)</f>
        <v>0</v>
      </c>
      <c r="EG637" s="354"/>
      <c r="EH637" s="354"/>
      <c r="EI637" s="353">
        <f>IF(EG637=0,0,(EH637-EG637)/EG637*100)</f>
        <v>0</v>
      </c>
      <c r="EJ637" s="354"/>
      <c r="EK637" s="354"/>
      <c r="EL637" s="353">
        <f>IF(EJ637=0,0,(EK637-EJ637)/EJ637*100)</f>
        <v>0</v>
      </c>
      <c r="EM637" s="354"/>
      <c r="EN637" s="354"/>
      <c r="EO637" s="353">
        <f>IF(EM637=0,0,(EN637-EM637)/EM637*100)</f>
        <v>0</v>
      </c>
      <c r="EP637" s="354"/>
      <c r="EQ637" s="354"/>
      <c r="ER637" s="353">
        <f>IF(EP637=0,0,(EQ637-EP637)/EP637*100)</f>
        <v>0</v>
      </c>
      <c r="ES637" s="354"/>
      <c r="ET637" s="354"/>
      <c r="EU637" s="353">
        <f>IF(ES637=0,0,(ET637-ES637)/ES637*100)</f>
        <v>0</v>
      </c>
      <c r="EV637" s="354"/>
      <c r="EW637" s="354"/>
      <c r="EX637" s="353">
        <f>IF(EV637=0,0,(EW637-EV637)/EV637*100)</f>
        <v>0</v>
      </c>
      <c r="EY637" s="354"/>
      <c r="EZ637" s="354"/>
      <c r="FA637" s="353">
        <f>IF(EY637=0,0,(EZ637-EY637)/EY637*100)</f>
        <v>0</v>
      </c>
      <c r="FB637" s="354"/>
      <c r="FC637" s="354"/>
      <c r="FD637" s="353">
        <f>IF(FB637=0,0,(FC637-FB637)/FB637*100)</f>
        <v>0</v>
      </c>
      <c r="FE637" s="354"/>
      <c r="FF637" s="354"/>
      <c r="FG637" s="353">
        <f>IF(FE637=0,0,(FF637-FE637)/FE637*100)</f>
        <v>0</v>
      </c>
    </row>
    <row r="638" spans="1:163" s="509" customFormat="1" ht="22.8" outlineLevel="1">
      <c r="A638" s="509" t="str">
        <f t="shared" ca="1" si="129"/>
        <v>et_List16_line_d</v>
      </c>
      <c r="C638" s="509" t="s">
        <v>1568</v>
      </c>
      <c r="D638" s="551">
        <f>D637</f>
        <v>0</v>
      </c>
      <c r="G638" s="509">
        <f t="shared" ca="1" si="130"/>
        <v>0</v>
      </c>
      <c r="J638" s="1155"/>
      <c r="K638" s="135"/>
      <c r="L638" s="356" t="s">
        <v>670</v>
      </c>
      <c r="M638" s="499" t="s">
        <v>311</v>
      </c>
      <c r="N638" s="493"/>
      <c r="O638" s="493"/>
      <c r="P638" s="501">
        <f>IF(N638=0,0,(O638-N638)/N638*100)</f>
        <v>0</v>
      </c>
      <c r="Q638" s="493"/>
      <c r="R638" s="493"/>
      <c r="S638" s="501">
        <f>IF(Q638=0,0,(R638-Q638)/Q638*100)</f>
        <v>0</v>
      </c>
      <c r="T638" s="493"/>
      <c r="U638" s="493"/>
      <c r="V638" s="501">
        <f>IF(T638=0,0,(U638-T638)/T638*100)</f>
        <v>0</v>
      </c>
      <c r="W638" s="493"/>
      <c r="X638" s="493"/>
      <c r="Y638" s="501">
        <f>IF(W638=0,0,(X638-W638)/W638*100)</f>
        <v>0</v>
      </c>
      <c r="Z638" s="493"/>
      <c r="AA638" s="493"/>
      <c r="AB638" s="501">
        <f>IF(Z638=0,0,(AA638-Z638)/Z638*100)</f>
        <v>0</v>
      </c>
      <c r="AC638" s="493"/>
      <c r="AD638" s="493"/>
      <c r="AE638" s="501">
        <f>IF(AC638=0,0,(AD638-AC638)/AC638*100)</f>
        <v>0</v>
      </c>
      <c r="AF638" s="493"/>
      <c r="AG638" s="493"/>
      <c r="AH638" s="501">
        <f>IF(AF638=0,0,(AG638-AF638)/AF638*100)</f>
        <v>0</v>
      </c>
      <c r="AI638" s="493"/>
      <c r="AJ638" s="493"/>
      <c r="AK638" s="501">
        <f>IF(AI638=0,0,(AJ638-AI638)/AI638*100)</f>
        <v>0</v>
      </c>
      <c r="AL638" s="493"/>
      <c r="AM638" s="493"/>
      <c r="AN638" s="501">
        <f>IF(AL638=0,0,(AM638-AL638)/AL638*100)</f>
        <v>0</v>
      </c>
      <c r="AO638" s="493"/>
      <c r="AP638" s="493"/>
      <c r="AQ638" s="501">
        <f>IF(AO638=0,0,(AP638-AO638)/AO638*100)</f>
        <v>0</v>
      </c>
      <c r="AR638" s="493"/>
      <c r="AS638" s="493"/>
      <c r="AT638" s="501">
        <f>IF(AR638=0,0,(AS638-AR638)/AR638*100)</f>
        <v>0</v>
      </c>
      <c r="AU638" s="493"/>
      <c r="AV638" s="493"/>
      <c r="AW638" s="501">
        <f>IF(AU638=0,0,(AV638-AU638)/AU638*100)</f>
        <v>0</v>
      </c>
      <c r="AX638" s="493"/>
      <c r="AY638" s="493"/>
      <c r="AZ638" s="501">
        <f>IF(AX638=0,0,(AY638-AX638)/AX638*100)</f>
        <v>0</v>
      </c>
      <c r="BA638" s="493"/>
      <c r="BB638" s="493"/>
      <c r="BC638" s="501">
        <f>IF(BA638=0,0,(BB638-BA638)/BA638*100)</f>
        <v>0</v>
      </c>
      <c r="BD638" s="493"/>
      <c r="BE638" s="493"/>
      <c r="BF638" s="501">
        <f>IF(BD638=0,0,(BE638-BD638)/BD638*100)</f>
        <v>0</v>
      </c>
      <c r="BG638" s="493"/>
      <c r="BH638" s="493"/>
      <c r="BI638" s="501">
        <f>IF(BG638=0,0,(BH638-BG638)/BG638*100)</f>
        <v>0</v>
      </c>
      <c r="BJ638" s="493"/>
      <c r="BK638" s="493"/>
      <c r="BL638" s="501">
        <f>IF(BJ638=0,0,(BK638-BJ638)/BJ638*100)</f>
        <v>0</v>
      </c>
      <c r="BM638" s="493"/>
      <c r="BN638" s="493"/>
      <c r="BO638" s="501">
        <f>IF(BM638=0,0,(BN638-BM638)/BM638*100)</f>
        <v>0</v>
      </c>
      <c r="BP638" s="493"/>
      <c r="BQ638" s="493"/>
      <c r="BR638" s="501">
        <f>IF(BP638=0,0,(BQ638-BP638)/BP638*100)</f>
        <v>0</v>
      </c>
      <c r="BS638" s="493"/>
      <c r="BT638" s="493"/>
      <c r="BU638" s="501">
        <f>IF(BS638=0,0,(BT638-BS638)/BS638*100)</f>
        <v>0</v>
      </c>
      <c r="BV638" s="493"/>
      <c r="BW638" s="493"/>
      <c r="BX638" s="501">
        <f>IF(BV638=0,0,(BW638-BV638)/BV638*100)</f>
        <v>0</v>
      </c>
      <c r="BY638" s="493"/>
      <c r="BZ638" s="493"/>
      <c r="CA638" s="501">
        <f>IF(BY638=0,0,(BZ638-BY638)/BY638*100)</f>
        <v>0</v>
      </c>
      <c r="CB638" s="493"/>
      <c r="CC638" s="493"/>
      <c r="CD638" s="501">
        <f>IF(CB638=0,0,(CC638-CB638)/CB638*100)</f>
        <v>0</v>
      </c>
      <c r="CE638" s="493"/>
      <c r="CF638" s="493"/>
      <c r="CG638" s="501">
        <f>IF(CE638=0,0,(CF638-CE638)/CE638*100)</f>
        <v>0</v>
      </c>
      <c r="CH638" s="493"/>
      <c r="CI638" s="493"/>
      <c r="CJ638" s="501">
        <f>IF(CH638=0,0,(CI638-CH638)/CH638*100)</f>
        <v>0</v>
      </c>
      <c r="CK638" s="493"/>
      <c r="CL638" s="493"/>
      <c r="CM638" s="501">
        <f>IF(CK638=0,0,(CL638-CK638)/CK638*100)</f>
        <v>0</v>
      </c>
      <c r="CN638" s="493"/>
      <c r="CO638" s="493"/>
      <c r="CP638" s="501">
        <f>IF(CN638=0,0,(CO638-CN638)/CN638*100)</f>
        <v>0</v>
      </c>
      <c r="CQ638" s="493"/>
      <c r="CR638" s="493"/>
      <c r="CS638" s="501">
        <f>IF(CQ638=0,0,(CR638-CQ638)/CQ638*100)</f>
        <v>0</v>
      </c>
      <c r="CT638" s="493"/>
      <c r="CU638" s="493"/>
      <c r="CV638" s="501">
        <f>IF(CT638=0,0,(CU638-CT638)/CT638*100)</f>
        <v>0</v>
      </c>
      <c r="CW638" s="493"/>
      <c r="CX638" s="493"/>
      <c r="CY638" s="501">
        <f>IF(CW638=0,0,(CX638-CW638)/CW638*100)</f>
        <v>0</v>
      </c>
      <c r="CZ638" s="493"/>
      <c r="DA638" s="493"/>
      <c r="DB638" s="501">
        <f>IF(CZ638=0,0,(DA638-CZ638)/CZ638*100)</f>
        <v>0</v>
      </c>
      <c r="DC638" s="493"/>
      <c r="DD638" s="493"/>
      <c r="DE638" s="501">
        <f>IF(DC638=0,0,(DD638-DC638)/DC638*100)</f>
        <v>0</v>
      </c>
      <c r="DF638" s="493"/>
      <c r="DG638" s="493"/>
      <c r="DH638" s="501">
        <f>IF(DF638=0,0,(DG638-DF638)/DF638*100)</f>
        <v>0</v>
      </c>
      <c r="DI638" s="493"/>
      <c r="DJ638" s="493"/>
      <c r="DK638" s="501">
        <f>IF(DI638=0,0,(DJ638-DI638)/DI638*100)</f>
        <v>0</v>
      </c>
      <c r="DL638" s="493"/>
      <c r="DM638" s="493"/>
      <c r="DN638" s="501">
        <f>IF(DL638=0,0,(DM638-DL638)/DL638*100)</f>
        <v>0</v>
      </c>
      <c r="DO638" s="493"/>
      <c r="DP638" s="493"/>
      <c r="DQ638" s="501">
        <f>IF(DO638=0,0,(DP638-DO638)/DO638*100)</f>
        <v>0</v>
      </c>
      <c r="DR638" s="493"/>
      <c r="DS638" s="493"/>
      <c r="DT638" s="501">
        <f>IF(DR638=0,0,(DS638-DR638)/DR638*100)</f>
        <v>0</v>
      </c>
      <c r="DU638" s="493"/>
      <c r="DV638" s="493"/>
      <c r="DW638" s="501">
        <f>IF(DU638=0,0,(DV638-DU638)/DU638*100)</f>
        <v>0</v>
      </c>
      <c r="DX638" s="493"/>
      <c r="DY638" s="493"/>
      <c r="DZ638" s="501">
        <f>IF(DX638=0,0,(DY638-DX638)/DX638*100)</f>
        <v>0</v>
      </c>
      <c r="EA638" s="493"/>
      <c r="EB638" s="493"/>
      <c r="EC638" s="501">
        <f>IF(EA638=0,0,(EB638-EA638)/EA638*100)</f>
        <v>0</v>
      </c>
      <c r="ED638" s="493"/>
      <c r="EE638" s="493"/>
      <c r="EF638" s="501">
        <f>IF(ED638=0,0,(EE638-ED638)/ED638*100)</f>
        <v>0</v>
      </c>
      <c r="EG638" s="493"/>
      <c r="EH638" s="493"/>
      <c r="EI638" s="501">
        <f>IF(EG638=0,0,(EH638-EG638)/EG638*100)</f>
        <v>0</v>
      </c>
      <c r="EJ638" s="493"/>
      <c r="EK638" s="493"/>
      <c r="EL638" s="501">
        <f>IF(EJ638=0,0,(EK638-EJ638)/EJ638*100)</f>
        <v>0</v>
      </c>
      <c r="EM638" s="493"/>
      <c r="EN638" s="493"/>
      <c r="EO638" s="501">
        <f>IF(EM638=0,0,(EN638-EM638)/EM638*100)</f>
        <v>0</v>
      </c>
      <c r="EP638" s="493"/>
      <c r="EQ638" s="493"/>
      <c r="ER638" s="501">
        <f>IF(EP638=0,0,(EQ638-EP638)/EP638*100)</f>
        <v>0</v>
      </c>
      <c r="ES638" s="493"/>
      <c r="ET638" s="493"/>
      <c r="EU638" s="501">
        <f>IF(ES638=0,0,(ET638-ES638)/ES638*100)</f>
        <v>0</v>
      </c>
      <c r="EV638" s="493"/>
      <c r="EW638" s="493"/>
      <c r="EX638" s="501">
        <f>IF(EV638=0,0,(EW638-EV638)/EV638*100)</f>
        <v>0</v>
      </c>
      <c r="EY638" s="493"/>
      <c r="EZ638" s="493"/>
      <c r="FA638" s="501">
        <f>IF(EY638=0,0,(EZ638-EY638)/EY638*100)</f>
        <v>0</v>
      </c>
      <c r="FB638" s="493"/>
      <c r="FC638" s="493"/>
      <c r="FD638" s="501">
        <f>IF(FB638=0,0,(FC638-FB638)/FB638*100)</f>
        <v>0</v>
      </c>
      <c r="FE638" s="493"/>
      <c r="FF638" s="493"/>
      <c r="FG638" s="501">
        <f>IF(FE638=0,0,(FF638-FE638)/FE638*100)</f>
        <v>0</v>
      </c>
    </row>
    <row r="639" spans="1:163" s="509" customFormat="1" ht="34.200000000000003" outlineLevel="1">
      <c r="A639" s="509" t="str">
        <f t="shared" ca="1" si="129"/>
        <v>et_List16_line_d</v>
      </c>
      <c r="C639" s="509" t="s">
        <v>1569</v>
      </c>
      <c r="D639" s="551">
        <f>D638</f>
        <v>0</v>
      </c>
      <c r="G639" s="509">
        <f t="shared" ca="1" si="130"/>
        <v>0</v>
      </c>
      <c r="J639" s="1155"/>
      <c r="K639" s="135"/>
      <c r="L639" s="356" t="s">
        <v>671</v>
      </c>
      <c r="M639" s="499" t="s">
        <v>672</v>
      </c>
      <c r="N639" s="354"/>
      <c r="O639" s="354"/>
      <c r="P639" s="353">
        <f>IF(N639=0,0,(O639-N639)/N639*100)</f>
        <v>0</v>
      </c>
      <c r="Q639" s="354"/>
      <c r="R639" s="354"/>
      <c r="S639" s="353">
        <f>IF(Q639=0,0,(R639-Q639)/Q639*100)</f>
        <v>0</v>
      </c>
      <c r="T639" s="354"/>
      <c r="U639" s="354"/>
      <c r="V639" s="353">
        <f>IF(T639=0,0,(U639-T639)/T639*100)</f>
        <v>0</v>
      </c>
      <c r="W639" s="354"/>
      <c r="X639" s="354"/>
      <c r="Y639" s="353">
        <f>IF(W639=0,0,(X639-W639)/W639*100)</f>
        <v>0</v>
      </c>
      <c r="Z639" s="354"/>
      <c r="AA639" s="354"/>
      <c r="AB639" s="353">
        <f>IF(Z639=0,0,(AA639-Z639)/Z639*100)</f>
        <v>0</v>
      </c>
      <c r="AC639" s="354"/>
      <c r="AD639" s="354"/>
      <c r="AE639" s="353">
        <f>IF(AC639=0,0,(AD639-AC639)/AC639*100)</f>
        <v>0</v>
      </c>
      <c r="AF639" s="354"/>
      <c r="AG639" s="354"/>
      <c r="AH639" s="353">
        <f>IF(AF639=0,0,(AG639-AF639)/AF639*100)</f>
        <v>0</v>
      </c>
      <c r="AI639" s="354"/>
      <c r="AJ639" s="354"/>
      <c r="AK639" s="353">
        <f>IF(AI639=0,0,(AJ639-AI639)/AI639*100)</f>
        <v>0</v>
      </c>
      <c r="AL639" s="354"/>
      <c r="AM639" s="354"/>
      <c r="AN639" s="353">
        <f>IF(AL639=0,0,(AM639-AL639)/AL639*100)</f>
        <v>0</v>
      </c>
      <c r="AO639" s="354"/>
      <c r="AP639" s="354"/>
      <c r="AQ639" s="353">
        <f>IF(AO639=0,0,(AP639-AO639)/AO639*100)</f>
        <v>0</v>
      </c>
      <c r="AR639" s="354"/>
      <c r="AS639" s="354"/>
      <c r="AT639" s="353">
        <f>IF(AR639=0,0,(AS639-AR639)/AR639*100)</f>
        <v>0</v>
      </c>
      <c r="AU639" s="354"/>
      <c r="AV639" s="354"/>
      <c r="AW639" s="353">
        <f>IF(AU639=0,0,(AV639-AU639)/AU639*100)</f>
        <v>0</v>
      </c>
      <c r="AX639" s="354"/>
      <c r="AY639" s="354"/>
      <c r="AZ639" s="353">
        <f>IF(AX639=0,0,(AY639-AX639)/AX639*100)</f>
        <v>0</v>
      </c>
      <c r="BA639" s="354"/>
      <c r="BB639" s="354"/>
      <c r="BC639" s="353">
        <f>IF(BA639=0,0,(BB639-BA639)/BA639*100)</f>
        <v>0</v>
      </c>
      <c r="BD639" s="354"/>
      <c r="BE639" s="354"/>
      <c r="BF639" s="353">
        <f>IF(BD639=0,0,(BE639-BD639)/BD639*100)</f>
        <v>0</v>
      </c>
      <c r="BG639" s="354"/>
      <c r="BH639" s="354"/>
      <c r="BI639" s="353">
        <f>IF(BG639=0,0,(BH639-BG639)/BG639*100)</f>
        <v>0</v>
      </c>
      <c r="BJ639" s="354"/>
      <c r="BK639" s="354"/>
      <c r="BL639" s="353">
        <f>IF(BJ639=0,0,(BK639-BJ639)/BJ639*100)</f>
        <v>0</v>
      </c>
      <c r="BM639" s="354"/>
      <c r="BN639" s="354"/>
      <c r="BO639" s="353">
        <f>IF(BM639=0,0,(BN639-BM639)/BM639*100)</f>
        <v>0</v>
      </c>
      <c r="BP639" s="354"/>
      <c r="BQ639" s="354"/>
      <c r="BR639" s="353">
        <f>IF(BP639=0,0,(BQ639-BP639)/BP639*100)</f>
        <v>0</v>
      </c>
      <c r="BS639" s="354"/>
      <c r="BT639" s="354"/>
      <c r="BU639" s="353">
        <f>IF(BS639=0,0,(BT639-BS639)/BS639*100)</f>
        <v>0</v>
      </c>
      <c r="BV639" s="354"/>
      <c r="BW639" s="354"/>
      <c r="BX639" s="353">
        <f>IF(BV639=0,0,(BW639-BV639)/BV639*100)</f>
        <v>0</v>
      </c>
      <c r="BY639" s="354"/>
      <c r="BZ639" s="354"/>
      <c r="CA639" s="353">
        <f>IF(BY639=0,0,(BZ639-BY639)/BY639*100)</f>
        <v>0</v>
      </c>
      <c r="CB639" s="354"/>
      <c r="CC639" s="354"/>
      <c r="CD639" s="353">
        <f>IF(CB639=0,0,(CC639-CB639)/CB639*100)</f>
        <v>0</v>
      </c>
      <c r="CE639" s="354"/>
      <c r="CF639" s="354"/>
      <c r="CG639" s="353">
        <f>IF(CE639=0,0,(CF639-CE639)/CE639*100)</f>
        <v>0</v>
      </c>
      <c r="CH639" s="354"/>
      <c r="CI639" s="354"/>
      <c r="CJ639" s="353">
        <f>IF(CH639=0,0,(CI639-CH639)/CH639*100)</f>
        <v>0</v>
      </c>
      <c r="CK639" s="354"/>
      <c r="CL639" s="354"/>
      <c r="CM639" s="353">
        <f>IF(CK639=0,0,(CL639-CK639)/CK639*100)</f>
        <v>0</v>
      </c>
      <c r="CN639" s="354"/>
      <c r="CO639" s="354"/>
      <c r="CP639" s="353">
        <f>IF(CN639=0,0,(CO639-CN639)/CN639*100)</f>
        <v>0</v>
      </c>
      <c r="CQ639" s="354"/>
      <c r="CR639" s="354"/>
      <c r="CS639" s="353">
        <f>IF(CQ639=0,0,(CR639-CQ639)/CQ639*100)</f>
        <v>0</v>
      </c>
      <c r="CT639" s="354"/>
      <c r="CU639" s="354"/>
      <c r="CV639" s="353">
        <f>IF(CT639=0,0,(CU639-CT639)/CT639*100)</f>
        <v>0</v>
      </c>
      <c r="CW639" s="354"/>
      <c r="CX639" s="354"/>
      <c r="CY639" s="353">
        <f>IF(CW639=0,0,(CX639-CW639)/CW639*100)</f>
        <v>0</v>
      </c>
      <c r="CZ639" s="354"/>
      <c r="DA639" s="354"/>
      <c r="DB639" s="353">
        <f>IF(CZ639=0,0,(DA639-CZ639)/CZ639*100)</f>
        <v>0</v>
      </c>
      <c r="DC639" s="354"/>
      <c r="DD639" s="354"/>
      <c r="DE639" s="353">
        <f>IF(DC639=0,0,(DD639-DC639)/DC639*100)</f>
        <v>0</v>
      </c>
      <c r="DF639" s="354"/>
      <c r="DG639" s="354"/>
      <c r="DH639" s="353">
        <f>IF(DF639=0,0,(DG639-DF639)/DF639*100)</f>
        <v>0</v>
      </c>
      <c r="DI639" s="354"/>
      <c r="DJ639" s="354"/>
      <c r="DK639" s="353">
        <f>IF(DI639=0,0,(DJ639-DI639)/DI639*100)</f>
        <v>0</v>
      </c>
      <c r="DL639" s="354"/>
      <c r="DM639" s="354"/>
      <c r="DN639" s="353">
        <f>IF(DL639=0,0,(DM639-DL639)/DL639*100)</f>
        <v>0</v>
      </c>
      <c r="DO639" s="354"/>
      <c r="DP639" s="354"/>
      <c r="DQ639" s="353">
        <f>IF(DO639=0,0,(DP639-DO639)/DO639*100)</f>
        <v>0</v>
      </c>
      <c r="DR639" s="354"/>
      <c r="DS639" s="354"/>
      <c r="DT639" s="353">
        <f>IF(DR639=0,0,(DS639-DR639)/DR639*100)</f>
        <v>0</v>
      </c>
      <c r="DU639" s="354"/>
      <c r="DV639" s="354"/>
      <c r="DW639" s="353">
        <f>IF(DU639=0,0,(DV639-DU639)/DU639*100)</f>
        <v>0</v>
      </c>
      <c r="DX639" s="354"/>
      <c r="DY639" s="354"/>
      <c r="DZ639" s="353">
        <f>IF(DX639=0,0,(DY639-DX639)/DX639*100)</f>
        <v>0</v>
      </c>
      <c r="EA639" s="354"/>
      <c r="EB639" s="354"/>
      <c r="EC639" s="353">
        <f>IF(EA639=0,0,(EB639-EA639)/EA639*100)</f>
        <v>0</v>
      </c>
      <c r="ED639" s="354"/>
      <c r="EE639" s="354"/>
      <c r="EF639" s="353">
        <f>IF(ED639=0,0,(EE639-ED639)/ED639*100)</f>
        <v>0</v>
      </c>
      <c r="EG639" s="354"/>
      <c r="EH639" s="354"/>
      <c r="EI639" s="353">
        <f>IF(EG639=0,0,(EH639-EG639)/EG639*100)</f>
        <v>0</v>
      </c>
      <c r="EJ639" s="354"/>
      <c r="EK639" s="354"/>
      <c r="EL639" s="353">
        <f>IF(EJ639=0,0,(EK639-EJ639)/EJ639*100)</f>
        <v>0</v>
      </c>
      <c r="EM639" s="354"/>
      <c r="EN639" s="354"/>
      <c r="EO639" s="353">
        <f>IF(EM639=0,0,(EN639-EM639)/EM639*100)</f>
        <v>0</v>
      </c>
      <c r="EP639" s="354"/>
      <c r="EQ639" s="354"/>
      <c r="ER639" s="353">
        <f>IF(EP639=0,0,(EQ639-EP639)/EP639*100)</f>
        <v>0</v>
      </c>
      <c r="ES639" s="354"/>
      <c r="ET639" s="354"/>
      <c r="EU639" s="353">
        <f>IF(ES639=0,0,(ET639-ES639)/ES639*100)</f>
        <v>0</v>
      </c>
      <c r="EV639" s="354"/>
      <c r="EW639" s="354"/>
      <c r="EX639" s="353">
        <f>IF(EV639=0,0,(EW639-EV639)/EV639*100)</f>
        <v>0</v>
      </c>
      <c r="EY639" s="354"/>
      <c r="EZ639" s="354"/>
      <c r="FA639" s="353">
        <f>IF(EY639=0,0,(EZ639-EY639)/EY639*100)</f>
        <v>0</v>
      </c>
      <c r="FB639" s="354"/>
      <c r="FC639" s="354"/>
      <c r="FD639" s="353">
        <f>IF(FB639=0,0,(FC639-FB639)/FB639*100)</f>
        <v>0</v>
      </c>
      <c r="FE639" s="354"/>
      <c r="FF639" s="354"/>
      <c r="FG639" s="353">
        <f>IF(FE639=0,0,(FF639-FE639)/FE639*100)</f>
        <v>0</v>
      </c>
    </row>
    <row r="640" spans="1:163" s="509" customFormat="1" ht="22.8" outlineLevel="1">
      <c r="A640" s="509" t="str">
        <f t="shared" ca="1" si="129"/>
        <v>et_List16_line_d</v>
      </c>
      <c r="C640" s="509" t="s">
        <v>1570</v>
      </c>
      <c r="D640" s="551">
        <f>D639</f>
        <v>0</v>
      </c>
      <c r="G640" s="509">
        <f t="shared" ca="1" si="130"/>
        <v>0</v>
      </c>
      <c r="J640" s="1155"/>
      <c r="K640" s="135"/>
      <c r="L640" s="356" t="s">
        <v>673</v>
      </c>
      <c r="M640" s="499" t="s">
        <v>674</v>
      </c>
      <c r="N640" s="354"/>
      <c r="O640" s="354"/>
      <c r="P640" s="353">
        <f>IF(N640=0,0,(O640-N640)/N640*100)</f>
        <v>0</v>
      </c>
      <c r="Q640" s="354"/>
      <c r="R640" s="354"/>
      <c r="S640" s="353">
        <f>IF(Q640=0,0,(R640-Q640)/Q640*100)</f>
        <v>0</v>
      </c>
      <c r="T640" s="354"/>
      <c r="U640" s="354"/>
      <c r="V640" s="353">
        <f>IF(T640=0,0,(U640-T640)/T640*100)</f>
        <v>0</v>
      </c>
      <c r="W640" s="354"/>
      <c r="X640" s="354"/>
      <c r="Y640" s="353">
        <f>IF(W640=0,0,(X640-W640)/W640*100)</f>
        <v>0</v>
      </c>
      <c r="Z640" s="354"/>
      <c r="AA640" s="354"/>
      <c r="AB640" s="353">
        <f>IF(Z640=0,0,(AA640-Z640)/Z640*100)</f>
        <v>0</v>
      </c>
      <c r="AC640" s="354"/>
      <c r="AD640" s="354"/>
      <c r="AE640" s="353">
        <f>IF(AC640=0,0,(AD640-AC640)/AC640*100)</f>
        <v>0</v>
      </c>
      <c r="AF640" s="354"/>
      <c r="AG640" s="354"/>
      <c r="AH640" s="353">
        <f>IF(AF640=0,0,(AG640-AF640)/AF640*100)</f>
        <v>0</v>
      </c>
      <c r="AI640" s="354"/>
      <c r="AJ640" s="354"/>
      <c r="AK640" s="353">
        <f>IF(AI640=0,0,(AJ640-AI640)/AI640*100)</f>
        <v>0</v>
      </c>
      <c r="AL640" s="354"/>
      <c r="AM640" s="354"/>
      <c r="AN640" s="353">
        <f>IF(AL640=0,0,(AM640-AL640)/AL640*100)</f>
        <v>0</v>
      </c>
      <c r="AO640" s="354"/>
      <c r="AP640" s="354"/>
      <c r="AQ640" s="353">
        <f>IF(AO640=0,0,(AP640-AO640)/AO640*100)</f>
        <v>0</v>
      </c>
      <c r="AR640" s="354"/>
      <c r="AS640" s="354"/>
      <c r="AT640" s="353">
        <f>IF(AR640=0,0,(AS640-AR640)/AR640*100)</f>
        <v>0</v>
      </c>
      <c r="AU640" s="354"/>
      <c r="AV640" s="354"/>
      <c r="AW640" s="353">
        <f>IF(AU640=0,0,(AV640-AU640)/AU640*100)</f>
        <v>0</v>
      </c>
      <c r="AX640" s="354"/>
      <c r="AY640" s="354"/>
      <c r="AZ640" s="353">
        <f>IF(AX640=0,0,(AY640-AX640)/AX640*100)</f>
        <v>0</v>
      </c>
      <c r="BA640" s="354"/>
      <c r="BB640" s="354"/>
      <c r="BC640" s="353">
        <f>IF(BA640=0,0,(BB640-BA640)/BA640*100)</f>
        <v>0</v>
      </c>
      <c r="BD640" s="354"/>
      <c r="BE640" s="354"/>
      <c r="BF640" s="353">
        <f>IF(BD640=0,0,(BE640-BD640)/BD640*100)</f>
        <v>0</v>
      </c>
      <c r="BG640" s="354"/>
      <c r="BH640" s="354"/>
      <c r="BI640" s="353">
        <f>IF(BG640=0,0,(BH640-BG640)/BG640*100)</f>
        <v>0</v>
      </c>
      <c r="BJ640" s="354"/>
      <c r="BK640" s="354"/>
      <c r="BL640" s="353">
        <f>IF(BJ640=0,0,(BK640-BJ640)/BJ640*100)</f>
        <v>0</v>
      </c>
      <c r="BM640" s="354"/>
      <c r="BN640" s="354"/>
      <c r="BO640" s="353">
        <f>IF(BM640=0,0,(BN640-BM640)/BM640*100)</f>
        <v>0</v>
      </c>
      <c r="BP640" s="354"/>
      <c r="BQ640" s="354"/>
      <c r="BR640" s="353">
        <f>IF(BP640=0,0,(BQ640-BP640)/BP640*100)</f>
        <v>0</v>
      </c>
      <c r="BS640" s="354"/>
      <c r="BT640" s="354"/>
      <c r="BU640" s="353">
        <f>IF(BS640=0,0,(BT640-BS640)/BS640*100)</f>
        <v>0</v>
      </c>
      <c r="BV640" s="354"/>
      <c r="BW640" s="354"/>
      <c r="BX640" s="353">
        <f>IF(BV640=0,0,(BW640-BV640)/BV640*100)</f>
        <v>0</v>
      </c>
      <c r="BY640" s="354"/>
      <c r="BZ640" s="354"/>
      <c r="CA640" s="353">
        <f>IF(BY640=0,0,(BZ640-BY640)/BY640*100)</f>
        <v>0</v>
      </c>
      <c r="CB640" s="354"/>
      <c r="CC640" s="354"/>
      <c r="CD640" s="353">
        <f>IF(CB640=0,0,(CC640-CB640)/CB640*100)</f>
        <v>0</v>
      </c>
      <c r="CE640" s="354"/>
      <c r="CF640" s="354"/>
      <c r="CG640" s="353">
        <f>IF(CE640=0,0,(CF640-CE640)/CE640*100)</f>
        <v>0</v>
      </c>
      <c r="CH640" s="354"/>
      <c r="CI640" s="354"/>
      <c r="CJ640" s="353">
        <f>IF(CH640=0,0,(CI640-CH640)/CH640*100)</f>
        <v>0</v>
      </c>
      <c r="CK640" s="354"/>
      <c r="CL640" s="354"/>
      <c r="CM640" s="353">
        <f>IF(CK640=0,0,(CL640-CK640)/CK640*100)</f>
        <v>0</v>
      </c>
      <c r="CN640" s="354"/>
      <c r="CO640" s="354"/>
      <c r="CP640" s="353">
        <f>IF(CN640=0,0,(CO640-CN640)/CN640*100)</f>
        <v>0</v>
      </c>
      <c r="CQ640" s="354"/>
      <c r="CR640" s="354"/>
      <c r="CS640" s="353">
        <f>IF(CQ640=0,0,(CR640-CQ640)/CQ640*100)</f>
        <v>0</v>
      </c>
      <c r="CT640" s="354"/>
      <c r="CU640" s="354"/>
      <c r="CV640" s="353">
        <f>IF(CT640=0,0,(CU640-CT640)/CT640*100)</f>
        <v>0</v>
      </c>
      <c r="CW640" s="354"/>
      <c r="CX640" s="354"/>
      <c r="CY640" s="353">
        <f>IF(CW640=0,0,(CX640-CW640)/CW640*100)</f>
        <v>0</v>
      </c>
      <c r="CZ640" s="354"/>
      <c r="DA640" s="354"/>
      <c r="DB640" s="353">
        <f>IF(CZ640=0,0,(DA640-CZ640)/CZ640*100)</f>
        <v>0</v>
      </c>
      <c r="DC640" s="354"/>
      <c r="DD640" s="354"/>
      <c r="DE640" s="353">
        <f>IF(DC640=0,0,(DD640-DC640)/DC640*100)</f>
        <v>0</v>
      </c>
      <c r="DF640" s="354"/>
      <c r="DG640" s="354"/>
      <c r="DH640" s="353">
        <f>IF(DF640=0,0,(DG640-DF640)/DF640*100)</f>
        <v>0</v>
      </c>
      <c r="DI640" s="354"/>
      <c r="DJ640" s="354"/>
      <c r="DK640" s="353">
        <f>IF(DI640=0,0,(DJ640-DI640)/DI640*100)</f>
        <v>0</v>
      </c>
      <c r="DL640" s="354"/>
      <c r="DM640" s="354"/>
      <c r="DN640" s="353">
        <f>IF(DL640=0,0,(DM640-DL640)/DL640*100)</f>
        <v>0</v>
      </c>
      <c r="DO640" s="354"/>
      <c r="DP640" s="354"/>
      <c r="DQ640" s="353">
        <f>IF(DO640=0,0,(DP640-DO640)/DO640*100)</f>
        <v>0</v>
      </c>
      <c r="DR640" s="354"/>
      <c r="DS640" s="354"/>
      <c r="DT640" s="353">
        <f>IF(DR640=0,0,(DS640-DR640)/DR640*100)</f>
        <v>0</v>
      </c>
      <c r="DU640" s="354"/>
      <c r="DV640" s="354"/>
      <c r="DW640" s="353">
        <f>IF(DU640=0,0,(DV640-DU640)/DU640*100)</f>
        <v>0</v>
      </c>
      <c r="DX640" s="354"/>
      <c r="DY640" s="354"/>
      <c r="DZ640" s="353">
        <f>IF(DX640=0,0,(DY640-DX640)/DX640*100)</f>
        <v>0</v>
      </c>
      <c r="EA640" s="354"/>
      <c r="EB640" s="354"/>
      <c r="EC640" s="353">
        <f>IF(EA640=0,0,(EB640-EA640)/EA640*100)</f>
        <v>0</v>
      </c>
      <c r="ED640" s="354"/>
      <c r="EE640" s="354"/>
      <c r="EF640" s="353">
        <f>IF(ED640=0,0,(EE640-ED640)/ED640*100)</f>
        <v>0</v>
      </c>
      <c r="EG640" s="354"/>
      <c r="EH640" s="354"/>
      <c r="EI640" s="353">
        <f>IF(EG640=0,0,(EH640-EG640)/EG640*100)</f>
        <v>0</v>
      </c>
      <c r="EJ640" s="354"/>
      <c r="EK640" s="354"/>
      <c r="EL640" s="353">
        <f>IF(EJ640=0,0,(EK640-EJ640)/EJ640*100)</f>
        <v>0</v>
      </c>
      <c r="EM640" s="354"/>
      <c r="EN640" s="354"/>
      <c r="EO640" s="353">
        <f>IF(EM640=0,0,(EN640-EM640)/EM640*100)</f>
        <v>0</v>
      </c>
      <c r="EP640" s="354"/>
      <c r="EQ640" s="354"/>
      <c r="ER640" s="353">
        <f>IF(EP640=0,0,(EQ640-EP640)/EP640*100)</f>
        <v>0</v>
      </c>
      <c r="ES640" s="354"/>
      <c r="ET640" s="354"/>
      <c r="EU640" s="353">
        <f>IF(ES640=0,0,(ET640-ES640)/ES640*100)</f>
        <v>0</v>
      </c>
      <c r="EV640" s="354"/>
      <c r="EW640" s="354"/>
      <c r="EX640" s="353">
        <f>IF(EV640=0,0,(EW640-EV640)/EV640*100)</f>
        <v>0</v>
      </c>
      <c r="EY640" s="354"/>
      <c r="EZ640" s="354"/>
      <c r="FA640" s="353">
        <f>IF(EY640=0,0,(EZ640-EY640)/EY640*100)</f>
        <v>0</v>
      </c>
      <c r="FB640" s="354"/>
      <c r="FC640" s="354"/>
      <c r="FD640" s="353">
        <f>IF(FB640=0,0,(FC640-FB640)/FB640*100)</f>
        <v>0</v>
      </c>
      <c r="FE640" s="354"/>
      <c r="FF640" s="354"/>
      <c r="FG640" s="353">
        <f>IF(FE640=0,0,(FF640-FE640)/FE640*100)</f>
        <v>0</v>
      </c>
    </row>
    <row r="641" spans="1:163" s="484" customFormat="1">
      <c r="A641" s="497" t="s">
        <v>1345</v>
      </c>
      <c r="M641" s="485"/>
      <c r="N641" s="485"/>
      <c r="O641" s="485"/>
      <c r="P641" s="485"/>
      <c r="AA641" s="486"/>
    </row>
    <row r="642" spans="1:163" s="509" customFormat="1" ht="15" customHeight="1" outlineLevel="1">
      <c r="A642" s="509" t="str">
        <f ca="1">OFFSET(A642,-1,0)</f>
        <v>et_List16_line_transp</v>
      </c>
      <c r="C642" s="509" t="s">
        <v>1407</v>
      </c>
      <c r="D642" s="509">
        <f>L642</f>
        <v>0</v>
      </c>
      <c r="K642" s="135" t="s">
        <v>265</v>
      </c>
      <c r="L642" s="396"/>
      <c r="M642" s="499" t="s">
        <v>655</v>
      </c>
      <c r="N642" s="354"/>
      <c r="O642" s="355"/>
      <c r="P642" s="353">
        <f>IF(N642=0,0,(O642-N642)/N642*100)</f>
        <v>0</v>
      </c>
      <c r="Q642" s="355"/>
      <c r="R642" s="355"/>
      <c r="S642" s="353">
        <f>IF(Q642=0,0,(R642-Q642)/Q642*100)</f>
        <v>0</v>
      </c>
      <c r="T642" s="355"/>
      <c r="U642" s="355"/>
      <c r="V642" s="353">
        <f>IF(T642=0,0,(U642-T642)/T642*100)</f>
        <v>0</v>
      </c>
      <c r="W642" s="355"/>
      <c r="X642" s="355"/>
      <c r="Y642" s="353">
        <f>IF(W642=0,0,(X642-W642)/W642*100)</f>
        <v>0</v>
      </c>
      <c r="Z642" s="355"/>
      <c r="AA642" s="355"/>
      <c r="AB642" s="353">
        <f>IF(Z642=0,0,(AA642-Z642)/Z642*100)</f>
        <v>0</v>
      </c>
      <c r="AC642" s="355"/>
      <c r="AD642" s="355"/>
      <c r="AE642" s="353">
        <f>IF(AC642=0,0,(AD642-AC642)/AC642*100)</f>
        <v>0</v>
      </c>
      <c r="AF642" s="355"/>
      <c r="AG642" s="355"/>
      <c r="AH642" s="353">
        <f>IF(AF642=0,0,(AG642-AF642)/AF642*100)</f>
        <v>0</v>
      </c>
      <c r="AI642" s="355"/>
      <c r="AJ642" s="355"/>
      <c r="AK642" s="353">
        <f>IF(AI642=0,0,(AJ642-AI642)/AI642*100)</f>
        <v>0</v>
      </c>
      <c r="AL642" s="355"/>
      <c r="AM642" s="355"/>
      <c r="AN642" s="353">
        <f>IF(AL642=0,0,(AM642-AL642)/AL642*100)</f>
        <v>0</v>
      </c>
      <c r="AO642" s="355"/>
      <c r="AP642" s="355"/>
      <c r="AQ642" s="353">
        <f>IF(AO642=0,0,(AP642-AO642)/AO642*100)</f>
        <v>0</v>
      </c>
      <c r="AR642" s="355"/>
      <c r="AS642" s="355"/>
      <c r="AT642" s="353">
        <f>IF(AR642=0,0,(AS642-AR642)/AR642*100)</f>
        <v>0</v>
      </c>
      <c r="AU642" s="355"/>
      <c r="AV642" s="355"/>
      <c r="AW642" s="353">
        <f>IF(AU642=0,0,(AV642-AU642)/AU642*100)</f>
        <v>0</v>
      </c>
      <c r="AX642" s="355"/>
      <c r="AY642" s="355"/>
      <c r="AZ642" s="353">
        <f>IF(AX642=0,0,(AY642-AX642)/AX642*100)</f>
        <v>0</v>
      </c>
      <c r="BA642" s="355"/>
      <c r="BB642" s="355"/>
      <c r="BC642" s="353">
        <f>IF(BA642=0,0,(BB642-BA642)/BA642*100)</f>
        <v>0</v>
      </c>
      <c r="BD642" s="355"/>
      <c r="BE642" s="355"/>
      <c r="BF642" s="353">
        <f>IF(BD642=0,0,(BE642-BD642)/BD642*100)</f>
        <v>0</v>
      </c>
      <c r="BG642" s="355"/>
      <c r="BH642" s="355"/>
      <c r="BI642" s="353">
        <f>IF(BG642=0,0,(BH642-BG642)/BG642*100)</f>
        <v>0</v>
      </c>
      <c r="BJ642" s="355"/>
      <c r="BK642" s="355"/>
      <c r="BL642" s="353">
        <f>IF(BJ642=0,0,(BK642-BJ642)/BJ642*100)</f>
        <v>0</v>
      </c>
      <c r="BM642" s="355"/>
      <c r="BN642" s="355"/>
      <c r="BO642" s="353">
        <f>IF(BM642=0,0,(BN642-BM642)/BM642*100)</f>
        <v>0</v>
      </c>
      <c r="BP642" s="355"/>
      <c r="BQ642" s="355"/>
      <c r="BR642" s="353">
        <f>IF(BP642=0,0,(BQ642-BP642)/BP642*100)</f>
        <v>0</v>
      </c>
      <c r="BS642" s="355"/>
      <c r="BT642" s="355"/>
      <c r="BU642" s="353">
        <f>IF(BS642=0,0,(BT642-BS642)/BS642*100)</f>
        <v>0</v>
      </c>
      <c r="BV642" s="355"/>
      <c r="BW642" s="355"/>
      <c r="BX642" s="353">
        <f>IF(BV642=0,0,(BW642-BV642)/BV642*100)</f>
        <v>0</v>
      </c>
      <c r="BY642" s="355"/>
      <c r="BZ642" s="355"/>
      <c r="CA642" s="353">
        <f>IF(BY642=0,0,(BZ642-BY642)/BY642*100)</f>
        <v>0</v>
      </c>
      <c r="CB642" s="355"/>
      <c r="CC642" s="355"/>
      <c r="CD642" s="353">
        <f>IF(CB642=0,0,(CC642-CB642)/CB642*100)</f>
        <v>0</v>
      </c>
      <c r="CE642" s="355"/>
      <c r="CF642" s="355"/>
      <c r="CG642" s="353">
        <f>IF(CE642=0,0,(CF642-CE642)/CE642*100)</f>
        <v>0</v>
      </c>
      <c r="CH642" s="355"/>
      <c r="CI642" s="355"/>
      <c r="CJ642" s="353">
        <f>IF(CH642=0,0,(CI642-CH642)/CH642*100)</f>
        <v>0</v>
      </c>
      <c r="CK642" s="355"/>
      <c r="CL642" s="355"/>
      <c r="CM642" s="353">
        <f>IF(CK642=0,0,(CL642-CK642)/CK642*100)</f>
        <v>0</v>
      </c>
      <c r="CN642" s="355"/>
      <c r="CO642" s="355"/>
      <c r="CP642" s="353">
        <f>IF(CN642=0,0,(CO642-CN642)/CN642*100)</f>
        <v>0</v>
      </c>
      <c r="CQ642" s="355"/>
      <c r="CR642" s="355"/>
      <c r="CS642" s="353">
        <f>IF(CQ642=0,0,(CR642-CQ642)/CQ642*100)</f>
        <v>0</v>
      </c>
      <c r="CT642" s="355"/>
      <c r="CU642" s="355"/>
      <c r="CV642" s="353">
        <f>IF(CT642=0,0,(CU642-CT642)/CT642*100)</f>
        <v>0</v>
      </c>
      <c r="CW642" s="355"/>
      <c r="CX642" s="355"/>
      <c r="CY642" s="353">
        <f>IF(CW642=0,0,(CX642-CW642)/CW642*100)</f>
        <v>0</v>
      </c>
      <c r="CZ642" s="355"/>
      <c r="DA642" s="355"/>
      <c r="DB642" s="353">
        <f>IF(CZ642=0,0,(DA642-CZ642)/CZ642*100)</f>
        <v>0</v>
      </c>
      <c r="DC642" s="355"/>
      <c r="DD642" s="355"/>
      <c r="DE642" s="353">
        <f>IF(DC642=0,0,(DD642-DC642)/DC642*100)</f>
        <v>0</v>
      </c>
      <c r="DF642" s="355"/>
      <c r="DG642" s="355"/>
      <c r="DH642" s="353">
        <f>IF(DF642=0,0,(DG642-DF642)/DF642*100)</f>
        <v>0</v>
      </c>
      <c r="DI642" s="355"/>
      <c r="DJ642" s="355"/>
      <c r="DK642" s="353">
        <f>IF(DI642=0,0,(DJ642-DI642)/DI642*100)</f>
        <v>0</v>
      </c>
      <c r="DL642" s="355"/>
      <c r="DM642" s="355"/>
      <c r="DN642" s="353">
        <f>IF(DL642=0,0,(DM642-DL642)/DL642*100)</f>
        <v>0</v>
      </c>
      <c r="DO642" s="355"/>
      <c r="DP642" s="355"/>
      <c r="DQ642" s="353">
        <f>IF(DO642=0,0,(DP642-DO642)/DO642*100)</f>
        <v>0</v>
      </c>
      <c r="DR642" s="355"/>
      <c r="DS642" s="355"/>
      <c r="DT642" s="353">
        <f>IF(DR642=0,0,(DS642-DR642)/DR642*100)</f>
        <v>0</v>
      </c>
      <c r="DU642" s="355"/>
      <c r="DV642" s="355"/>
      <c r="DW642" s="353">
        <f>IF(DU642=0,0,(DV642-DU642)/DU642*100)</f>
        <v>0</v>
      </c>
      <c r="DX642" s="355"/>
      <c r="DY642" s="355"/>
      <c r="DZ642" s="353">
        <f>IF(DX642=0,0,(DY642-DX642)/DX642*100)</f>
        <v>0</v>
      </c>
      <c r="EA642" s="355"/>
      <c r="EB642" s="355"/>
      <c r="EC642" s="353">
        <f>IF(EA642=0,0,(EB642-EA642)/EA642*100)</f>
        <v>0</v>
      </c>
      <c r="ED642" s="355"/>
      <c r="EE642" s="355"/>
      <c r="EF642" s="353">
        <f>IF(ED642=0,0,(EE642-ED642)/ED642*100)</f>
        <v>0</v>
      </c>
      <c r="EG642" s="355"/>
      <c r="EH642" s="355"/>
      <c r="EI642" s="353">
        <f>IF(EG642=0,0,(EH642-EG642)/EG642*100)</f>
        <v>0</v>
      </c>
      <c r="EJ642" s="355"/>
      <c r="EK642" s="355"/>
      <c r="EL642" s="353">
        <f>IF(EJ642=0,0,(EK642-EJ642)/EJ642*100)</f>
        <v>0</v>
      </c>
      <c r="EM642" s="355"/>
      <c r="EN642" s="355"/>
      <c r="EO642" s="353">
        <f>IF(EM642=0,0,(EN642-EM642)/EM642*100)</f>
        <v>0</v>
      </c>
      <c r="EP642" s="355"/>
      <c r="EQ642" s="355"/>
      <c r="ER642" s="353">
        <f>IF(EP642=0,0,(EQ642-EP642)/EP642*100)</f>
        <v>0</v>
      </c>
      <c r="ES642" s="355"/>
      <c r="ET642" s="355"/>
      <c r="EU642" s="353">
        <f>IF(ES642=0,0,(ET642-ES642)/ES642*100)</f>
        <v>0</v>
      </c>
      <c r="EV642" s="355"/>
      <c r="EW642" s="355"/>
      <c r="EX642" s="353">
        <f>IF(EV642=0,0,(EW642-EV642)/EV642*100)</f>
        <v>0</v>
      </c>
      <c r="EY642" s="355"/>
      <c r="EZ642" s="355"/>
      <c r="FA642" s="353">
        <f>IF(EY642=0,0,(EZ642-EY642)/EY642*100)</f>
        <v>0</v>
      </c>
      <c r="FB642" s="355"/>
      <c r="FC642" s="355"/>
      <c r="FD642" s="353">
        <f>IF(FB642=0,0,(FC642-FB642)/FB642*100)</f>
        <v>0</v>
      </c>
      <c r="FE642" s="355"/>
      <c r="FF642" s="355"/>
      <c r="FG642" s="353">
        <f>IF(FE642=0,0,(FF642-FE642)/FE642*100)</f>
        <v>0</v>
      </c>
    </row>
    <row r="644" spans="1:163" s="131" customFormat="1" ht="30" customHeight="1">
      <c r="A644" s="130" t="s">
        <v>1189</v>
      </c>
      <c r="M644" s="132"/>
      <c r="N644" s="132"/>
      <c r="O644" s="132"/>
      <c r="P644" s="132"/>
      <c r="AA644" s="133"/>
    </row>
    <row r="645" spans="1:163">
      <c r="A645" s="134" t="s">
        <v>1310</v>
      </c>
    </row>
    <row r="646" spans="1:163" s="101" customFormat="1" ht="15" customHeight="1">
      <c r="A646" s="86" t="s">
        <v>18</v>
      </c>
      <c r="L646" s="264" t="str">
        <f>INDEX('Общие сведения'!$J$114:$J$140,MATCH($A646,'Общие сведения'!$D$114:$D$140,0))</f>
        <v>Тариф 1 (Водоотведение) - тариф на транспортировку сточных вод</v>
      </c>
      <c r="M646" s="265"/>
      <c r="N646" s="265"/>
      <c r="O646" s="265"/>
      <c r="P646" s="265"/>
      <c r="Q646" s="265"/>
      <c r="R646" s="265"/>
      <c r="S646" s="265"/>
      <c r="T646" s="265"/>
      <c r="U646" s="265"/>
      <c r="V646" s="556"/>
    </row>
    <row r="647" spans="1:163" s="104" customFormat="1" ht="15" customHeight="1" outlineLevel="1">
      <c r="A647" s="104" t="str">
        <f t="shared" ref="A647:A696" si="131">A646</f>
        <v>1</v>
      </c>
      <c r="F647" s="104">
        <f>first_year</f>
        <v>2020</v>
      </c>
      <c r="G647" s="104" t="b">
        <f t="shared" ref="G647:G655" si="132">F647&lt;first_year+PERIOD_LENGTH</f>
        <v>1</v>
      </c>
      <c r="L647" s="295" t="str">
        <f t="shared" ref="L647:L695" si="133">F647&amp; " год"</f>
        <v>2020 год</v>
      </c>
      <c r="M647" s="296">
        <f>IFERROR(SUMIFS(INDEX(Калькуляция!$O$15:$AM$266,,MATCH(F647&amp;"Принято органом регулирования",Калькуляция!$O$3:$AM$3,0)),Калькуляция!$A$15:$A$266,A647,Калькуляция!$M$15:$M$266,"Операционные расходы"),0)</f>
        <v>0</v>
      </c>
      <c r="N647" s="411">
        <f>IFERROR(SUMIFS(INDEX(Сценарии!$O$15:$AP$53,,MATCH($F647&amp;"Принято органом регулирования",Сценарии!$O$3:$AP$3,0)),Сценарии!$A$15:$A$53,$A647,Сценарии!$M$15:$M$53,"Индекс эффективности операционных расходов"),0)</f>
        <v>0</v>
      </c>
      <c r="O647" s="296"/>
      <c r="P647" s="296">
        <f>IFERROR(SUMIFS(INDEX(Баланс!$O$16:$AL$57,,MATCH($F647&amp;"Принято органом регулирования",Баланс!$O$3:$AL$3,0)),Баланс!$A$16:$A$57,$A647,Баланс!$M$16:$M$57,"Уровень потерь воды"),0)</f>
        <v>0</v>
      </c>
      <c r="Q647" s="411">
        <f>IFERROR(SUMIFS(INDEX(ЭЭ!$O$15:$AL$38,,MATCH($F647&amp;"Принято органом регулирования",ЭЭ!$O$3:$AL$3,0)),ЭЭ!$A$15:$A$38,$A647,ЭЭ!$M$15:$M$38,"Удельный расход электроэнергии"),0)</f>
        <v>0</v>
      </c>
      <c r="R647" s="411">
        <f>IFERROR(SUMIFS(INDEX(ЭЭ!$O$15:$AL$38,,MATCH($F647&amp;"Принято органом регулирования",ЭЭ!$O$3:$AL$3,0)),ЭЭ!$A$15:$A$38,$A647,ЭЭ!$M$15:$M$38,"Удельный расход электроэнергии"),0)</f>
        <v>0</v>
      </c>
      <c r="S647" s="411">
        <f>IFERROR(SUMIFS(INDEX(ЭЭ!$O$15:$AL$38,,MATCH($F647&amp;"Принято органом регулирования",ЭЭ!$O$3:$AL$3,0)),ЭЭ!$A$15:$A$38,$A647,ЭЭ!$M$15:$M$38,"Удельный расход электроэнергии"),0)</f>
        <v>0</v>
      </c>
      <c r="T647" s="557"/>
      <c r="U647" s="558"/>
      <c r="V647" s="559"/>
    </row>
    <row r="648" spans="1:163" s="104" customFormat="1" ht="15" customHeight="1" outlineLevel="1">
      <c r="A648" s="104" t="str">
        <f t="shared" si="131"/>
        <v>1</v>
      </c>
      <c r="F648" s="104">
        <f>first_year+1</f>
        <v>2021</v>
      </c>
      <c r="G648" s="104" t="b">
        <f t="shared" si="132"/>
        <v>1</v>
      </c>
      <c r="L648" s="295" t="str">
        <f t="shared" si="133"/>
        <v>2021 год</v>
      </c>
      <c r="M648" s="296">
        <f>IFERROR(SUMIFS(INDEX(Калькуляция!$O$15:$AM$266,,MATCH(F648&amp;"Принято органом регулирования",Калькуляция!$O$3:$AM$3,0)),Калькуляция!$A$15:$A$266,A648,Калькуляция!$M$15:$M$266,"Операционные расходы"),0)</f>
        <v>0</v>
      </c>
      <c r="N648" s="411">
        <f>IFERROR(SUMIFS(INDEX(Сценарии!$O$15:$AP$53,,MATCH(F648&amp;"Принято органом регулирования",Сценарии!$O$3:$AP$3,0)),Сценарии!$A$15:$A$53,A648,Сценарии!$M$15:$M$53,"Индекс эффективности операционных расходов"),0)</f>
        <v>0</v>
      </c>
      <c r="O648" s="296"/>
      <c r="P648" s="296">
        <f>IFERROR(SUMIFS(INDEX(Баланс!$O$16:$AL$57,,MATCH($F648&amp;"Принято органом регулирования",Баланс!$O$3:$AL$3,0)),Баланс!$A$16:$A$57,$A648,Баланс!$M$16:$M$57,"Уровень потерь воды"),0)</f>
        <v>0</v>
      </c>
      <c r="Q648" s="411">
        <f>IFERROR(SUMIFS(INDEX(ЭЭ!$O$15:$AL$38,,MATCH($F648&amp;"Принято органом регулирования",ЭЭ!$O$3:$AL$3,0)),ЭЭ!$A$15:$A$38,$A648,ЭЭ!$M$15:$M$38,"Удельный расход электроэнергии"),0)</f>
        <v>0</v>
      </c>
      <c r="R648" s="411">
        <f>IFERROR(SUMIFS(INDEX(ЭЭ!$O$15:$AL$38,,MATCH($F648&amp;"Принято органом регулирования",ЭЭ!$O$3:$AL$3,0)),ЭЭ!$A$15:$A$38,$A648,ЭЭ!$M$15:$M$38,"Удельный расход электроэнергии"),0)</f>
        <v>0</v>
      </c>
      <c r="S648" s="411">
        <f>IFERROR(SUMIFS(INDEX(ЭЭ!$O$15:$AL$38,,MATCH($F648&amp;"Принято органом регулирования",ЭЭ!$O$3:$AL$3,0)),ЭЭ!$A$15:$A$38,$A648,ЭЭ!$M$15:$M$38,"Удельный расход электроэнергии"),0)</f>
        <v>0</v>
      </c>
      <c r="T648" s="557"/>
      <c r="U648" s="558"/>
      <c r="V648" s="559"/>
    </row>
    <row r="649" spans="1:163" s="104" customFormat="1" ht="15" customHeight="1" outlineLevel="1">
      <c r="A649" s="104" t="str">
        <f t="shared" si="131"/>
        <v>1</v>
      </c>
      <c r="F649" s="104">
        <f>first_year+2</f>
        <v>2022</v>
      </c>
      <c r="G649" s="104" t="b">
        <f t="shared" si="132"/>
        <v>1</v>
      </c>
      <c r="L649" s="295" t="str">
        <f t="shared" si="133"/>
        <v>2022 год</v>
      </c>
      <c r="M649" s="296">
        <f>IFERROR(SUMIFS(INDEX(Калькуляция!$O$15:$AM$266,,MATCH(F649&amp;"Принято органом регулирования",Калькуляция!$O$3:$AM$3,0)),Калькуляция!$A$15:$A$266,A649,Калькуляция!$M$15:$M$266,"Операционные расходы"),0)</f>
        <v>1702.09</v>
      </c>
      <c r="N649" s="411">
        <f>IFERROR(SUMIFS(INDEX(Сценарии!$O$15:$AP$53,,MATCH(F649&amp;"Принято органом регулирования",Сценарии!$O$3:$AP$3,0)),Сценарии!$A$15:$A$53,A649,Сценарии!$M$15:$M$53,"Индекс эффективности операционных расходов"),0)</f>
        <v>1</v>
      </c>
      <c r="O649" s="296"/>
      <c r="P649" s="296">
        <f>IFERROR(SUMIFS(INDEX(Баланс!$O$16:$AL$57,,MATCH($F649&amp;"Принято органом регулирования",Баланс!$O$3:$AL$3,0)),Баланс!$A$16:$A$57,$A649,Баланс!$M$16:$M$57,"Уровень потерь воды"),0)</f>
        <v>0</v>
      </c>
      <c r="Q649" s="411">
        <f>IFERROR(SUMIFS(INDEX(ЭЭ!$O$15:$AL$38,,MATCH($F649&amp;"Принято органом регулирования",ЭЭ!$O$3:$AL$3,0)),ЭЭ!$A$15:$A$38,$A649,ЭЭ!$M$15:$M$38,"Удельный расход электроэнергии"),0)</f>
        <v>2.3305084745762712E-2</v>
      </c>
      <c r="R649" s="411">
        <f>IFERROR(SUMIFS(INDEX(ЭЭ!$O$15:$AL$38,,MATCH($F649&amp;"Принято органом регулирования",ЭЭ!$O$3:$AL$3,0)),ЭЭ!$A$15:$A$38,$A649,ЭЭ!$M$15:$M$38,"Удельный расход электроэнергии"),0)</f>
        <v>2.3305084745762712E-2</v>
      </c>
      <c r="S649" s="411">
        <f>IFERROR(SUMIFS(INDEX(ЭЭ!$O$15:$AL$38,,MATCH($F649&amp;"Принято органом регулирования",ЭЭ!$O$3:$AL$3,0)),ЭЭ!$A$15:$A$38,$A649,ЭЭ!$M$15:$M$38,"Удельный расход электроэнергии"),0)</f>
        <v>2.3305084745762712E-2</v>
      </c>
      <c r="T649" s="557"/>
      <c r="U649" s="558"/>
      <c r="V649" s="559"/>
    </row>
    <row r="650" spans="1:163" s="104" customFormat="1" ht="15" customHeight="1" outlineLevel="1">
      <c r="A650" s="104" t="str">
        <f t="shared" si="131"/>
        <v>1</v>
      </c>
      <c r="F650" s="104">
        <f>first_year+3</f>
        <v>2023</v>
      </c>
      <c r="G650" s="104" t="b">
        <f t="shared" si="132"/>
        <v>1</v>
      </c>
      <c r="L650" s="295" t="str">
        <f t="shared" si="133"/>
        <v>2023 год</v>
      </c>
      <c r="M650" s="296">
        <f>IFERROR(SUMIFS(INDEX(Калькуляция!$O$15:$AM$266,,MATCH(F650&amp;"Принято органом регулирования",Калькуляция!$O$3:$AM$3,0)),Калькуляция!$A$15:$A$266,A650,Калькуляция!$M$15:$M$266,"Операционные расходы"),0)</f>
        <v>1963.45</v>
      </c>
      <c r="N650" s="411">
        <f>IFERROR(SUMIFS(INDEX(Сценарии!$O$15:$AP$53,,MATCH(F650&amp;"Принято органом регулирования",Сценарии!$O$3:$AP$3,0)),Сценарии!$A$15:$A$53,A650,Сценарии!$M$15:$M$53,"Индекс эффективности операционных расходов"),0)</f>
        <v>1</v>
      </c>
      <c r="O650" s="296"/>
      <c r="P650" s="296">
        <f>IFERROR(SUMIFS(INDEX(Баланс!$O$16:$AL$57,,MATCH($F650&amp;"Принято органом регулирования",Баланс!$O$3:$AL$3,0)),Баланс!$A$16:$A$57,$A650,Баланс!$M$16:$M$57,"Уровень потерь воды"),0)</f>
        <v>0</v>
      </c>
      <c r="Q650" s="411">
        <f>IFERROR(SUMIFS(INDEX(ЭЭ!$O$15:$AL$38,,MATCH($F650&amp;"Принято органом регулирования",ЭЭ!$O$3:$AL$3,0)),ЭЭ!$A$15:$A$38,$A650,ЭЭ!$M$15:$M$38,"Удельный расход электроэнергии"),0)</f>
        <v>2.3298117959840482E-2</v>
      </c>
      <c r="R650" s="411">
        <f>IFERROR(SUMIFS(INDEX(ЭЭ!$O$15:$AL$38,,MATCH($F650&amp;"Принято органом регулирования",ЭЭ!$O$3:$AL$3,0)),ЭЭ!$A$15:$A$38,$A650,ЭЭ!$M$15:$M$38,"Удельный расход электроэнергии"),0)</f>
        <v>2.3298117959840482E-2</v>
      </c>
      <c r="S650" s="411">
        <f>IFERROR(SUMIFS(INDEX(ЭЭ!$O$15:$AL$38,,MATCH($F650&amp;"Принято органом регулирования",ЭЭ!$O$3:$AL$3,0)),ЭЭ!$A$15:$A$38,$A650,ЭЭ!$M$15:$M$38,"Удельный расход электроэнергии"),0)</f>
        <v>2.3298117959840482E-2</v>
      </c>
      <c r="T650" s="557"/>
      <c r="U650" s="558"/>
      <c r="V650" s="559"/>
    </row>
    <row r="651" spans="1:163" s="104" customFormat="1" ht="15" customHeight="1" outlineLevel="1">
      <c r="A651" s="104" t="str">
        <f t="shared" si="131"/>
        <v>1</v>
      </c>
      <c r="F651" s="104">
        <f>first_year+4</f>
        <v>2024</v>
      </c>
      <c r="G651" s="104" t="b">
        <f t="shared" si="132"/>
        <v>1</v>
      </c>
      <c r="L651" s="295" t="str">
        <f t="shared" si="133"/>
        <v>2024 год</v>
      </c>
      <c r="M651" s="296">
        <f>IFERROR(SUMIFS(INDEX(Калькуляция!$O$15:$AM$266,,MATCH(F651&amp;"Принято органом регулирования",Калькуляция!$O$3:$AM$3,0)),Калькуляция!$A$15:$A$266,A651,Калькуляция!$M$15:$M$266,"Операционные расходы"),0)</f>
        <v>2083.77</v>
      </c>
      <c r="N651" s="411">
        <f>IFERROR(SUMIFS(INDEX(Сценарии!$O$15:$AP$53,,MATCH(F651&amp;"Принято органом регулирования",Сценарии!$O$3:$AP$3,0)),Сценарии!$A$15:$A$53,A651,Сценарии!$M$15:$M$53,"Индекс эффективности операционных расходов"),0)</f>
        <v>1</v>
      </c>
      <c r="O651" s="296"/>
      <c r="P651" s="296">
        <f>IFERROR(SUMIFS(INDEX(Баланс!$O$16:$AL$57,,MATCH($F651&amp;"Принято органом регулирования",Баланс!$O$3:$AL$3,0)),Баланс!$A$16:$A$57,$A651,Баланс!$M$16:$M$57,"Уровень потерь воды"),0)</f>
        <v>0</v>
      </c>
      <c r="Q651" s="411">
        <f>IFERROR(SUMIFS(INDEX(ЭЭ!$O$15:$AL$38,,MATCH($F651&amp;"Принято органом регулирования",ЭЭ!$O$3:$AL$3,0)),ЭЭ!$A$15:$A$38,$A651,ЭЭ!$M$15:$M$38,"Удельный расход электроэнергии"),0)</f>
        <v>2.3293829178586026E-2</v>
      </c>
      <c r="R651" s="411">
        <f>IFERROR(SUMIFS(INDEX(ЭЭ!$O$15:$AL$38,,MATCH($F651&amp;"Принято органом регулирования",ЭЭ!$O$3:$AL$3,0)),ЭЭ!$A$15:$A$38,$A651,ЭЭ!$M$15:$M$38,"Удельный расход электроэнергии"),0)</f>
        <v>2.3293829178586026E-2</v>
      </c>
      <c r="S651" s="411">
        <f>IFERROR(SUMIFS(INDEX(ЭЭ!$O$15:$AL$38,,MATCH($F651&amp;"Принято органом регулирования",ЭЭ!$O$3:$AL$3,0)),ЭЭ!$A$15:$A$38,$A651,ЭЭ!$M$15:$M$38,"Удельный расход электроэнергии"),0)</f>
        <v>2.3293829178586026E-2</v>
      </c>
      <c r="T651" s="557"/>
      <c r="U651" s="558"/>
      <c r="V651" s="559"/>
    </row>
    <row r="652" spans="1:163" s="104" customFormat="1" ht="15" customHeight="1" outlineLevel="1">
      <c r="A652" s="104" t="str">
        <f t="shared" si="131"/>
        <v>1</v>
      </c>
      <c r="F652" s="104">
        <f>first_year+5</f>
        <v>2025</v>
      </c>
      <c r="G652" s="104" t="b">
        <f t="shared" si="132"/>
        <v>0</v>
      </c>
      <c r="L652" s="295" t="str">
        <f t="shared" si="133"/>
        <v>2025 год</v>
      </c>
      <c r="M652" s="296">
        <f>IFERROR(SUMIFS(INDEX(Калькуляция!$O$15:$AM$266,,MATCH(F652&amp;"Принято органом регулирования",Калькуляция!$O$3:$AM$3,0)),Калькуляция!$A$15:$A$266,A652,Калькуляция!$M$15:$M$266,"Операционные расходы"),0)</f>
        <v>2083.77</v>
      </c>
      <c r="N652" s="411">
        <f>IFERROR(SUMIFS(INDEX(Сценарии!$O$15:$AP$53,,MATCH(F652&amp;"Принято органом регулирования",Сценарии!$O$3:$AP$3,0)),Сценарии!$A$15:$A$53,A652,Сценарии!$M$15:$M$53,"Индекс эффективности операционных расходов"),0)</f>
        <v>0</v>
      </c>
      <c r="O652" s="296"/>
      <c r="P652" s="296">
        <f>IFERROR(SUMIFS(INDEX(Баланс!$O$16:$AL$57,,MATCH($F652&amp;"Принято органом регулирования",Баланс!$O$3:$AL$3,0)),Баланс!$A$16:$A$57,$A652,Баланс!$M$16:$M$57,"Уровень потерь воды"),0)</f>
        <v>0</v>
      </c>
      <c r="Q652" s="411">
        <f>IFERROR(SUMIFS(INDEX(ЭЭ!$O$15:$AL$38,,MATCH($F652&amp;"Принято органом регулирования",ЭЭ!$O$3:$AL$3,0)),ЭЭ!$A$15:$A$38,$A652,ЭЭ!$M$15:$M$38,"Удельный расход электроэнергии"),0)</f>
        <v>0</v>
      </c>
      <c r="R652" s="411">
        <f>IFERROR(SUMIFS(INDEX(ЭЭ!$O$15:$AL$38,,MATCH($F652&amp;"Принято органом регулирования",ЭЭ!$O$3:$AL$3,0)),ЭЭ!$A$15:$A$38,$A652,ЭЭ!$M$15:$M$38,"Удельный расход электроэнергии"),0)</f>
        <v>0</v>
      </c>
      <c r="S652" s="411">
        <f>IFERROR(SUMIFS(INDEX(ЭЭ!$O$15:$AL$38,,MATCH($F652&amp;"Принято органом регулирования",ЭЭ!$O$3:$AL$3,0)),ЭЭ!$A$15:$A$38,$A652,ЭЭ!$M$15:$M$38,"Удельный расход электроэнергии"),0)</f>
        <v>0</v>
      </c>
      <c r="T652" s="557"/>
      <c r="U652" s="558"/>
      <c r="V652" s="559"/>
    </row>
    <row r="653" spans="1:163" s="104" customFormat="1" ht="15" customHeight="1" outlineLevel="1">
      <c r="A653" s="104" t="str">
        <f t="shared" si="131"/>
        <v>1</v>
      </c>
      <c r="F653" s="104">
        <f>first_year+6</f>
        <v>2026</v>
      </c>
      <c r="G653" s="104" t="b">
        <f t="shared" si="132"/>
        <v>0</v>
      </c>
      <c r="L653" s="295" t="str">
        <f t="shared" si="133"/>
        <v>2026 год</v>
      </c>
      <c r="M653" s="296">
        <f>IFERROR(SUMIFS(INDEX(Калькуляция!$O$15:$AM$266,,MATCH(F653&amp;"Принято органом регулирования",Калькуляция!$O$3:$AM$3,0)),Калькуляция!$A$15:$A$266,A653,Калькуляция!$M$15:$M$266,"Операционные расходы"),0)</f>
        <v>2083.77</v>
      </c>
      <c r="N653" s="411">
        <f>IFERROR(SUMIFS(INDEX(Сценарии!$O$15:$AP$53,,MATCH(F653&amp;"Принято органом регулирования",Сценарии!$O$3:$AP$3,0)),Сценарии!$A$15:$A$53,A653,Сценарии!$M$15:$M$53,"Индекс эффективности операционных расходов"),0)</f>
        <v>0</v>
      </c>
      <c r="O653" s="296"/>
      <c r="P653" s="296">
        <f>IFERROR(SUMIFS(INDEX(Баланс!$O$16:$AL$57,,MATCH($F653&amp;"Принято органом регулирования",Баланс!$O$3:$AL$3,0)),Баланс!$A$16:$A$57,$A653,Баланс!$M$16:$M$57,"Уровень потерь воды"),0)</f>
        <v>0</v>
      </c>
      <c r="Q653" s="411">
        <f>IFERROR(SUMIFS(INDEX(ЭЭ!$O$15:$AL$38,,MATCH($F653&amp;"Принято органом регулирования",ЭЭ!$O$3:$AL$3,0)),ЭЭ!$A$15:$A$38,$A653,ЭЭ!$M$15:$M$38,"Удельный расход электроэнергии"),0)</f>
        <v>0</v>
      </c>
      <c r="R653" s="411">
        <f>IFERROR(SUMIFS(INDEX(ЭЭ!$O$15:$AL$38,,MATCH($F653&amp;"Принято органом регулирования",ЭЭ!$O$3:$AL$3,0)),ЭЭ!$A$15:$A$38,$A653,ЭЭ!$M$15:$M$38,"Удельный расход электроэнергии"),0)</f>
        <v>0</v>
      </c>
      <c r="S653" s="411">
        <f>IFERROR(SUMIFS(INDEX(ЭЭ!$O$15:$AL$38,,MATCH($F653&amp;"Принято органом регулирования",ЭЭ!$O$3:$AL$3,0)),ЭЭ!$A$15:$A$38,$A653,ЭЭ!$M$15:$M$38,"Удельный расход электроэнергии"),0)</f>
        <v>0</v>
      </c>
      <c r="T653" s="557"/>
      <c r="U653" s="558"/>
      <c r="V653" s="559"/>
    </row>
    <row r="654" spans="1:163" s="104" customFormat="1" ht="15" customHeight="1" outlineLevel="1">
      <c r="A654" s="104" t="str">
        <f t="shared" si="131"/>
        <v>1</v>
      </c>
      <c r="F654" s="104">
        <f>first_year+7</f>
        <v>2027</v>
      </c>
      <c r="G654" s="104" t="b">
        <f t="shared" si="132"/>
        <v>0</v>
      </c>
      <c r="L654" s="295" t="str">
        <f t="shared" si="133"/>
        <v>2027 год</v>
      </c>
      <c r="M654" s="296">
        <f>IFERROR(SUMIFS(INDEX(Калькуляция!$O$15:$AM$266,,MATCH(F654&amp;"Принято органом регулирования",Калькуляция!$O$3:$AM$3,0)),Калькуляция!$A$15:$A$266,A654,Калькуляция!$M$15:$M$266,"Операционные расходы"),0)</f>
        <v>2083.77</v>
      </c>
      <c r="N654" s="411">
        <f>IFERROR(SUMIFS(INDEX(Сценарии!$O$15:$AP$53,,MATCH(F654&amp;"Принято органом регулирования",Сценарии!$O$3:$AP$3,0)),Сценарии!$A$15:$A$53,A654,Сценарии!$M$15:$M$53,"Индекс эффективности операционных расходов"),0)</f>
        <v>0</v>
      </c>
      <c r="O654" s="296"/>
      <c r="P654" s="296">
        <f>IFERROR(SUMIFS(INDEX(Баланс!$O$16:$AL$57,,MATCH($F654&amp;"Принято органом регулирования",Баланс!$O$3:$AL$3,0)),Баланс!$A$16:$A$57,$A654,Баланс!$M$16:$M$57,"Уровень потерь воды"),0)</f>
        <v>0</v>
      </c>
      <c r="Q654" s="411">
        <f>IFERROR(SUMIFS(INDEX(ЭЭ!$O$15:$AL$38,,MATCH($F654&amp;"Принято органом регулирования",ЭЭ!$O$3:$AL$3,0)),ЭЭ!$A$15:$A$38,$A654,ЭЭ!$M$15:$M$38,"Удельный расход электроэнергии"),0)</f>
        <v>0</v>
      </c>
      <c r="R654" s="411">
        <f>IFERROR(SUMIFS(INDEX(ЭЭ!$O$15:$AL$38,,MATCH($F654&amp;"Принято органом регулирования",ЭЭ!$O$3:$AL$3,0)),ЭЭ!$A$15:$A$38,$A654,ЭЭ!$M$15:$M$38,"Удельный расход электроэнергии"),0)</f>
        <v>0</v>
      </c>
      <c r="S654" s="411">
        <f>IFERROR(SUMIFS(INDEX(ЭЭ!$O$15:$AL$38,,MATCH($F654&amp;"Принято органом регулирования",ЭЭ!$O$3:$AL$3,0)),ЭЭ!$A$15:$A$38,$A654,ЭЭ!$M$15:$M$38,"Удельный расход электроэнергии"),0)</f>
        <v>0</v>
      </c>
      <c r="T654" s="557"/>
      <c r="U654" s="558"/>
      <c r="V654" s="559"/>
    </row>
    <row r="655" spans="1:163" s="104" customFormat="1" ht="15" customHeight="1" outlineLevel="1">
      <c r="A655" s="104" t="str">
        <f t="shared" si="131"/>
        <v>1</v>
      </c>
      <c r="F655" s="104">
        <f>first_year+8</f>
        <v>2028</v>
      </c>
      <c r="G655" s="104" t="b">
        <f t="shared" si="132"/>
        <v>0</v>
      </c>
      <c r="L655" s="295" t="str">
        <f t="shared" si="133"/>
        <v>2028 год</v>
      </c>
      <c r="M655" s="296">
        <f>IFERROR(SUMIFS(INDEX(Калькуляция!$O$15:$AM$266,,MATCH(F655&amp;"Принято органом регулирования",Калькуляция!$O$3:$AM$3,0)),Калькуляция!$A$15:$A$266,A655,Калькуляция!$M$15:$M$266,"Операционные расходы"),0)</f>
        <v>2083.77</v>
      </c>
      <c r="N655" s="411">
        <f>IFERROR(SUMIFS(INDEX(Сценарии!$O$15:$AP$53,,MATCH(F655&amp;"Принято органом регулирования",Сценарии!$O$3:$AP$3,0)),Сценарии!$A$15:$A$53,A655,Сценарии!$M$15:$M$53,"Индекс эффективности операционных расходов"),0)</f>
        <v>0</v>
      </c>
      <c r="O655" s="296"/>
      <c r="P655" s="296">
        <f>IFERROR(SUMIFS(INDEX(Баланс!$O$16:$AL$57,,MATCH($F655&amp;"Принято органом регулирования",Баланс!$O$3:$AL$3,0)),Баланс!$A$16:$A$57,$A655,Баланс!$M$16:$M$57,"Уровень потерь воды"),0)</f>
        <v>0</v>
      </c>
      <c r="Q655" s="411">
        <f>IFERROR(SUMIFS(INDEX(ЭЭ!$O$15:$AL$38,,MATCH($F655&amp;"Принято органом регулирования",ЭЭ!$O$3:$AL$3,0)),ЭЭ!$A$15:$A$38,$A655,ЭЭ!$M$15:$M$38,"Удельный расход электроэнергии"),0)</f>
        <v>0</v>
      </c>
      <c r="R655" s="411">
        <f>IFERROR(SUMIFS(INDEX(ЭЭ!$O$15:$AL$38,,MATCH($F655&amp;"Принято органом регулирования",ЭЭ!$O$3:$AL$3,0)),ЭЭ!$A$15:$A$38,$A655,ЭЭ!$M$15:$M$38,"Удельный расход электроэнергии"),0)</f>
        <v>0</v>
      </c>
      <c r="S655" s="411">
        <f>IFERROR(SUMIFS(INDEX(ЭЭ!$O$15:$AL$38,,MATCH($F655&amp;"Принято органом регулирования",ЭЭ!$O$3:$AL$3,0)),ЭЭ!$A$15:$A$38,$A655,ЭЭ!$M$15:$M$38,"Удельный расход электроэнергии"),0)</f>
        <v>0</v>
      </c>
      <c r="T655" s="557"/>
      <c r="U655" s="558"/>
      <c r="V655" s="559"/>
    </row>
    <row r="656" spans="1:163" s="104" customFormat="1" ht="15" customHeight="1" outlineLevel="1">
      <c r="A656" s="104" t="str">
        <f t="shared" si="131"/>
        <v>1</v>
      </c>
      <c r="F656" s="104">
        <f>first_year+9</f>
        <v>2029</v>
      </c>
      <c r="G656" s="104" t="b">
        <f t="shared" ref="G656:G695" si="134">F656&lt;first_year+PERIOD_LENGTH</f>
        <v>0</v>
      </c>
      <c r="L656" s="295" t="str">
        <f t="shared" si="133"/>
        <v>2029 год</v>
      </c>
      <c r="M656" s="296">
        <f>IFERROR(SUMIFS(INDEX(Калькуляция!$O$15:$AM$266,,MATCH(F656&amp;"Принято органом регулирования",Калькуляция!$O$3:$AM$3,0)),Калькуляция!$A$15:$A$266,A656,Калькуляция!$M$15:$M$266,"Операционные расходы"),0)</f>
        <v>2083.77</v>
      </c>
      <c r="N656" s="411">
        <f>IFERROR(SUMIFS(INDEX(Сценарии!$O$15:$AP$53,,MATCH(F656&amp;"Принято органом регулирования",Сценарии!$O$3:$AP$3,0)),Сценарии!$A$15:$A$53,A656,Сценарии!$M$15:$M$53,"Индекс эффективности операционных расходов"),0)</f>
        <v>0</v>
      </c>
      <c r="O656" s="296"/>
      <c r="P656" s="296">
        <f>IFERROR(SUMIFS(INDEX(Баланс!$O$16:$AL$57,,MATCH($F656&amp;"Принято органом регулирования",Баланс!$O$3:$AL$3,0)),Баланс!$A$16:$A$57,$A656,Баланс!$M$16:$M$57,"Уровень потерь воды"),0)</f>
        <v>0</v>
      </c>
      <c r="Q656" s="411">
        <f>IFERROR(SUMIFS(INDEX(ЭЭ!$O$15:$AL$38,,MATCH($F656&amp;"Принято органом регулирования",ЭЭ!$O$3:$AL$3,0)),ЭЭ!$A$15:$A$38,$A656,ЭЭ!$M$15:$M$38,"Удельный расход электроэнергии"),0)</f>
        <v>0</v>
      </c>
      <c r="R656" s="411">
        <f>IFERROR(SUMIFS(INDEX(ЭЭ!$O$15:$AL$38,,MATCH($F656&amp;"Принято органом регулирования",ЭЭ!$O$3:$AL$3,0)),ЭЭ!$A$15:$A$38,$A656,ЭЭ!$M$15:$M$38,"Удельный расход электроэнергии"),0)</f>
        <v>0</v>
      </c>
      <c r="S656" s="411">
        <f>IFERROR(SUMIFS(INDEX(ЭЭ!$O$15:$AL$38,,MATCH($F656&amp;"Принято органом регулирования",ЭЭ!$O$3:$AL$3,0)),ЭЭ!$A$15:$A$38,$A656,ЭЭ!$M$15:$M$38,"Удельный расход электроэнергии"),0)</f>
        <v>0</v>
      </c>
      <c r="T656" s="557"/>
      <c r="U656" s="558"/>
      <c r="V656" s="559"/>
    </row>
    <row r="657" spans="1:22" s="104" customFormat="1" ht="15" customHeight="1" outlineLevel="1">
      <c r="A657" s="104" t="str">
        <f t="shared" si="131"/>
        <v>1</v>
      </c>
      <c r="F657" s="104">
        <f>first_year+10</f>
        <v>2030</v>
      </c>
      <c r="G657" s="104" t="b">
        <f t="shared" si="134"/>
        <v>0</v>
      </c>
      <c r="L657" s="295" t="str">
        <f t="shared" si="133"/>
        <v>2030 год</v>
      </c>
      <c r="M657" s="296"/>
      <c r="N657" s="411"/>
      <c r="O657" s="296"/>
      <c r="P657" s="296"/>
      <c r="Q657" s="411"/>
      <c r="R657" s="411"/>
      <c r="S657" s="411"/>
      <c r="T657" s="557"/>
      <c r="U657" s="558"/>
      <c r="V657" s="559"/>
    </row>
    <row r="658" spans="1:22" s="104" customFormat="1" ht="15" customHeight="1" outlineLevel="1">
      <c r="A658" s="104" t="str">
        <f t="shared" si="131"/>
        <v>1</v>
      </c>
      <c r="F658" s="104">
        <f>first_year+11</f>
        <v>2031</v>
      </c>
      <c r="G658" s="104" t="b">
        <f t="shared" si="134"/>
        <v>0</v>
      </c>
      <c r="L658" s="295" t="str">
        <f t="shared" si="133"/>
        <v>2031 год</v>
      </c>
      <c r="M658" s="296"/>
      <c r="N658" s="411"/>
      <c r="O658" s="296"/>
      <c r="P658" s="296"/>
      <c r="Q658" s="411"/>
      <c r="R658" s="411"/>
      <c r="S658" s="411"/>
      <c r="T658" s="557"/>
      <c r="U658" s="558"/>
      <c r="V658" s="559"/>
    </row>
    <row r="659" spans="1:22" s="104" customFormat="1" ht="15" customHeight="1" outlineLevel="1">
      <c r="A659" s="104" t="str">
        <f t="shared" si="131"/>
        <v>1</v>
      </c>
      <c r="F659" s="104">
        <f>first_year+12</f>
        <v>2032</v>
      </c>
      <c r="G659" s="104" t="b">
        <f t="shared" si="134"/>
        <v>0</v>
      </c>
      <c r="L659" s="295" t="str">
        <f t="shared" si="133"/>
        <v>2032 год</v>
      </c>
      <c r="M659" s="296"/>
      <c r="N659" s="411"/>
      <c r="O659" s="296"/>
      <c r="P659" s="296"/>
      <c r="Q659" s="411"/>
      <c r="R659" s="411"/>
      <c r="S659" s="411"/>
      <c r="T659" s="557"/>
      <c r="U659" s="558"/>
      <c r="V659" s="559"/>
    </row>
    <row r="660" spans="1:22" s="104" customFormat="1" ht="15" customHeight="1" outlineLevel="1">
      <c r="A660" s="104" t="str">
        <f t="shared" si="131"/>
        <v>1</v>
      </c>
      <c r="F660" s="104">
        <f>first_year+13</f>
        <v>2033</v>
      </c>
      <c r="G660" s="104" t="b">
        <f t="shared" si="134"/>
        <v>0</v>
      </c>
      <c r="L660" s="295" t="str">
        <f t="shared" si="133"/>
        <v>2033 год</v>
      </c>
      <c r="M660" s="296"/>
      <c r="N660" s="411"/>
      <c r="O660" s="296"/>
      <c r="P660" s="296"/>
      <c r="Q660" s="411"/>
      <c r="R660" s="411"/>
      <c r="S660" s="411"/>
      <c r="T660" s="557"/>
      <c r="U660" s="558"/>
      <c r="V660" s="559"/>
    </row>
    <row r="661" spans="1:22" s="104" customFormat="1" ht="15" customHeight="1" outlineLevel="1">
      <c r="A661" s="104" t="str">
        <f t="shared" si="131"/>
        <v>1</v>
      </c>
      <c r="F661" s="104">
        <f>first_year+14</f>
        <v>2034</v>
      </c>
      <c r="G661" s="104" t="b">
        <f t="shared" si="134"/>
        <v>0</v>
      </c>
      <c r="L661" s="295" t="str">
        <f t="shared" si="133"/>
        <v>2034 год</v>
      </c>
      <c r="M661" s="296"/>
      <c r="N661" s="411"/>
      <c r="O661" s="296"/>
      <c r="P661" s="296"/>
      <c r="Q661" s="411"/>
      <c r="R661" s="411"/>
      <c r="S661" s="411"/>
      <c r="T661" s="557"/>
      <c r="U661" s="558"/>
      <c r="V661" s="559"/>
    </row>
    <row r="662" spans="1:22" s="104" customFormat="1" ht="15" customHeight="1" outlineLevel="1">
      <c r="A662" s="104" t="str">
        <f t="shared" si="131"/>
        <v>1</v>
      </c>
      <c r="F662" s="104">
        <f>first_year+15</f>
        <v>2035</v>
      </c>
      <c r="G662" s="104" t="b">
        <f t="shared" si="134"/>
        <v>0</v>
      </c>
      <c r="L662" s="295" t="str">
        <f t="shared" si="133"/>
        <v>2035 год</v>
      </c>
      <c r="M662" s="296"/>
      <c r="N662" s="411"/>
      <c r="O662" s="296"/>
      <c r="P662" s="296"/>
      <c r="Q662" s="411"/>
      <c r="R662" s="411"/>
      <c r="S662" s="411"/>
      <c r="T662" s="557"/>
      <c r="U662" s="558"/>
      <c r="V662" s="559"/>
    </row>
    <row r="663" spans="1:22" s="104" customFormat="1" ht="15" customHeight="1" outlineLevel="1">
      <c r="A663" s="104" t="str">
        <f t="shared" si="131"/>
        <v>1</v>
      </c>
      <c r="F663" s="104">
        <f>first_year+16</f>
        <v>2036</v>
      </c>
      <c r="G663" s="104" t="b">
        <f t="shared" si="134"/>
        <v>0</v>
      </c>
      <c r="L663" s="295" t="str">
        <f t="shared" si="133"/>
        <v>2036 год</v>
      </c>
      <c r="M663" s="296"/>
      <c r="N663" s="411"/>
      <c r="O663" s="296"/>
      <c r="P663" s="296"/>
      <c r="Q663" s="411"/>
      <c r="R663" s="411"/>
      <c r="S663" s="411"/>
      <c r="T663" s="557"/>
      <c r="U663" s="558"/>
      <c r="V663" s="559"/>
    </row>
    <row r="664" spans="1:22" s="104" customFormat="1" ht="15" customHeight="1" outlineLevel="1">
      <c r="A664" s="104" t="str">
        <f t="shared" si="131"/>
        <v>1</v>
      </c>
      <c r="F664" s="104">
        <f>first_year+17</f>
        <v>2037</v>
      </c>
      <c r="G664" s="104" t="b">
        <f t="shared" si="134"/>
        <v>0</v>
      </c>
      <c r="L664" s="295" t="str">
        <f t="shared" si="133"/>
        <v>2037 год</v>
      </c>
      <c r="M664" s="296"/>
      <c r="N664" s="411"/>
      <c r="O664" s="296"/>
      <c r="P664" s="296"/>
      <c r="Q664" s="411"/>
      <c r="R664" s="411"/>
      <c r="S664" s="411"/>
      <c r="T664" s="557"/>
      <c r="U664" s="558"/>
      <c r="V664" s="559"/>
    </row>
    <row r="665" spans="1:22" s="104" customFormat="1" ht="15" customHeight="1" outlineLevel="1">
      <c r="A665" s="104" t="str">
        <f t="shared" si="131"/>
        <v>1</v>
      </c>
      <c r="F665" s="104">
        <f>first_year+18</f>
        <v>2038</v>
      </c>
      <c r="G665" s="104" t="b">
        <f t="shared" si="134"/>
        <v>0</v>
      </c>
      <c r="L665" s="295" t="str">
        <f t="shared" si="133"/>
        <v>2038 год</v>
      </c>
      <c r="M665" s="296"/>
      <c r="N665" s="411"/>
      <c r="O665" s="296"/>
      <c r="P665" s="296"/>
      <c r="Q665" s="411"/>
      <c r="R665" s="411"/>
      <c r="S665" s="411"/>
      <c r="T665" s="557"/>
      <c r="U665" s="558"/>
      <c r="V665" s="559"/>
    </row>
    <row r="666" spans="1:22" s="104" customFormat="1" ht="15" customHeight="1" outlineLevel="1">
      <c r="A666" s="104" t="str">
        <f t="shared" si="131"/>
        <v>1</v>
      </c>
      <c r="F666" s="104">
        <f>first_year+19</f>
        <v>2039</v>
      </c>
      <c r="G666" s="104" t="b">
        <f t="shared" si="134"/>
        <v>0</v>
      </c>
      <c r="L666" s="295" t="str">
        <f t="shared" si="133"/>
        <v>2039 год</v>
      </c>
      <c r="M666" s="296"/>
      <c r="N666" s="411"/>
      <c r="O666" s="296"/>
      <c r="P666" s="296"/>
      <c r="Q666" s="411"/>
      <c r="R666" s="411"/>
      <c r="S666" s="411"/>
      <c r="T666" s="557"/>
      <c r="U666" s="558"/>
      <c r="V666" s="559"/>
    </row>
    <row r="667" spans="1:22" s="104" customFormat="1" ht="15" customHeight="1" outlineLevel="1">
      <c r="A667" s="104" t="str">
        <f t="shared" si="131"/>
        <v>1</v>
      </c>
      <c r="F667" s="104">
        <f>first_year+20</f>
        <v>2040</v>
      </c>
      <c r="G667" s="104" t="b">
        <f t="shared" si="134"/>
        <v>0</v>
      </c>
      <c r="L667" s="295" t="str">
        <f t="shared" si="133"/>
        <v>2040 год</v>
      </c>
      <c r="M667" s="296"/>
      <c r="N667" s="411"/>
      <c r="O667" s="296"/>
      <c r="P667" s="296"/>
      <c r="Q667" s="411"/>
      <c r="R667" s="411"/>
      <c r="S667" s="411"/>
      <c r="T667" s="557"/>
      <c r="U667" s="558"/>
      <c r="V667" s="559"/>
    </row>
    <row r="668" spans="1:22" s="104" customFormat="1" ht="15" customHeight="1" outlineLevel="1">
      <c r="A668" s="104" t="str">
        <f t="shared" si="131"/>
        <v>1</v>
      </c>
      <c r="F668" s="104">
        <f>first_year+21</f>
        <v>2041</v>
      </c>
      <c r="G668" s="104" t="b">
        <f t="shared" si="134"/>
        <v>0</v>
      </c>
      <c r="L668" s="295" t="str">
        <f t="shared" si="133"/>
        <v>2041 год</v>
      </c>
      <c r="M668" s="296"/>
      <c r="N668" s="411"/>
      <c r="O668" s="296"/>
      <c r="P668" s="296"/>
      <c r="Q668" s="411"/>
      <c r="R668" s="411"/>
      <c r="S668" s="411"/>
      <c r="T668" s="557"/>
      <c r="U668" s="558"/>
      <c r="V668" s="559"/>
    </row>
    <row r="669" spans="1:22" s="104" customFormat="1" ht="15" customHeight="1" outlineLevel="1">
      <c r="A669" s="104" t="str">
        <f t="shared" si="131"/>
        <v>1</v>
      </c>
      <c r="F669" s="104">
        <f>first_year+22</f>
        <v>2042</v>
      </c>
      <c r="G669" s="104" t="b">
        <f t="shared" si="134"/>
        <v>0</v>
      </c>
      <c r="L669" s="295" t="str">
        <f t="shared" si="133"/>
        <v>2042 год</v>
      </c>
      <c r="M669" s="296"/>
      <c r="N669" s="411"/>
      <c r="O669" s="296"/>
      <c r="P669" s="296"/>
      <c r="Q669" s="411"/>
      <c r="R669" s="411"/>
      <c r="S669" s="411"/>
      <c r="T669" s="557"/>
      <c r="U669" s="558"/>
      <c r="V669" s="559"/>
    </row>
    <row r="670" spans="1:22" s="104" customFormat="1" ht="15" customHeight="1" outlineLevel="1">
      <c r="A670" s="104" t="str">
        <f t="shared" si="131"/>
        <v>1</v>
      </c>
      <c r="F670" s="104">
        <f>first_year+23</f>
        <v>2043</v>
      </c>
      <c r="G670" s="104" t="b">
        <f t="shared" si="134"/>
        <v>0</v>
      </c>
      <c r="L670" s="295" t="str">
        <f t="shared" si="133"/>
        <v>2043 год</v>
      </c>
      <c r="M670" s="296"/>
      <c r="N670" s="411"/>
      <c r="O670" s="296"/>
      <c r="P670" s="296"/>
      <c r="Q670" s="411"/>
      <c r="R670" s="411"/>
      <c r="S670" s="411"/>
      <c r="T670" s="557"/>
      <c r="U670" s="558"/>
      <c r="V670" s="559"/>
    </row>
    <row r="671" spans="1:22" s="104" customFormat="1" ht="15" customHeight="1" outlineLevel="1">
      <c r="A671" s="104" t="str">
        <f t="shared" si="131"/>
        <v>1</v>
      </c>
      <c r="F671" s="104">
        <f>first_year+24</f>
        <v>2044</v>
      </c>
      <c r="G671" s="104" t="b">
        <f t="shared" si="134"/>
        <v>0</v>
      </c>
      <c r="L671" s="295" t="str">
        <f t="shared" si="133"/>
        <v>2044 год</v>
      </c>
      <c r="M671" s="296"/>
      <c r="N671" s="411"/>
      <c r="O671" s="296"/>
      <c r="P671" s="296"/>
      <c r="Q671" s="411"/>
      <c r="R671" s="411"/>
      <c r="S671" s="411"/>
      <c r="T671" s="557"/>
      <c r="U671" s="558"/>
      <c r="V671" s="559"/>
    </row>
    <row r="672" spans="1:22" s="104" customFormat="1" ht="15" customHeight="1" outlineLevel="1">
      <c r="A672" s="104" t="str">
        <f t="shared" si="131"/>
        <v>1</v>
      </c>
      <c r="F672" s="104">
        <f>first_year+25</f>
        <v>2045</v>
      </c>
      <c r="G672" s="104" t="b">
        <f t="shared" si="134"/>
        <v>0</v>
      </c>
      <c r="L672" s="295" t="str">
        <f t="shared" si="133"/>
        <v>2045 год</v>
      </c>
      <c r="M672" s="296"/>
      <c r="N672" s="411"/>
      <c r="O672" s="296"/>
      <c r="P672" s="296"/>
      <c r="Q672" s="411"/>
      <c r="R672" s="411"/>
      <c r="S672" s="411"/>
      <c r="T672" s="557"/>
      <c r="U672" s="558"/>
      <c r="V672" s="559"/>
    </row>
    <row r="673" spans="1:22" s="104" customFormat="1" ht="15" customHeight="1" outlineLevel="1">
      <c r="A673" s="104" t="str">
        <f t="shared" si="131"/>
        <v>1</v>
      </c>
      <c r="F673" s="104">
        <f>first_year+26</f>
        <v>2046</v>
      </c>
      <c r="G673" s="104" t="b">
        <f t="shared" si="134"/>
        <v>0</v>
      </c>
      <c r="L673" s="295" t="str">
        <f t="shared" si="133"/>
        <v>2046 год</v>
      </c>
      <c r="M673" s="296"/>
      <c r="N673" s="411"/>
      <c r="O673" s="296"/>
      <c r="P673" s="296"/>
      <c r="Q673" s="411"/>
      <c r="R673" s="411"/>
      <c r="S673" s="411"/>
      <c r="T673" s="557"/>
      <c r="U673" s="558"/>
      <c r="V673" s="559"/>
    </row>
    <row r="674" spans="1:22" s="104" customFormat="1" ht="15" customHeight="1" outlineLevel="1">
      <c r="A674" s="104" t="str">
        <f t="shared" si="131"/>
        <v>1</v>
      </c>
      <c r="F674" s="104">
        <f>first_year+27</f>
        <v>2047</v>
      </c>
      <c r="G674" s="104" t="b">
        <f t="shared" si="134"/>
        <v>0</v>
      </c>
      <c r="L674" s="295" t="str">
        <f t="shared" si="133"/>
        <v>2047 год</v>
      </c>
      <c r="M674" s="296"/>
      <c r="N674" s="411"/>
      <c r="O674" s="296"/>
      <c r="P674" s="296"/>
      <c r="Q674" s="411"/>
      <c r="R674" s="411"/>
      <c r="S674" s="411"/>
      <c r="T674" s="557"/>
      <c r="U674" s="558"/>
      <c r="V674" s="559"/>
    </row>
    <row r="675" spans="1:22" s="104" customFormat="1" ht="15" customHeight="1" outlineLevel="1">
      <c r="A675" s="104" t="str">
        <f t="shared" si="131"/>
        <v>1</v>
      </c>
      <c r="F675" s="104">
        <f>first_year+28</f>
        <v>2048</v>
      </c>
      <c r="G675" s="104" t="b">
        <f t="shared" si="134"/>
        <v>0</v>
      </c>
      <c r="L675" s="295" t="str">
        <f t="shared" si="133"/>
        <v>2048 год</v>
      </c>
      <c r="M675" s="296"/>
      <c r="N675" s="411"/>
      <c r="O675" s="296"/>
      <c r="P675" s="296"/>
      <c r="Q675" s="411"/>
      <c r="R675" s="411"/>
      <c r="S675" s="411"/>
      <c r="T675" s="557"/>
      <c r="U675" s="558"/>
      <c r="V675" s="559"/>
    </row>
    <row r="676" spans="1:22" s="104" customFormat="1" ht="15" customHeight="1" outlineLevel="1">
      <c r="A676" s="104" t="str">
        <f t="shared" si="131"/>
        <v>1</v>
      </c>
      <c r="F676" s="104">
        <f>first_year+29</f>
        <v>2049</v>
      </c>
      <c r="G676" s="104" t="b">
        <f t="shared" si="134"/>
        <v>0</v>
      </c>
      <c r="L676" s="295" t="str">
        <f t="shared" si="133"/>
        <v>2049 год</v>
      </c>
      <c r="M676" s="296"/>
      <c r="N676" s="411"/>
      <c r="O676" s="296"/>
      <c r="P676" s="296"/>
      <c r="Q676" s="411"/>
      <c r="R676" s="411"/>
      <c r="S676" s="411"/>
      <c r="T676" s="557"/>
      <c r="U676" s="558"/>
      <c r="V676" s="559"/>
    </row>
    <row r="677" spans="1:22" s="104" customFormat="1" ht="15" customHeight="1" outlineLevel="1">
      <c r="A677" s="104" t="str">
        <f t="shared" si="131"/>
        <v>1</v>
      </c>
      <c r="F677" s="104">
        <f>first_year+30</f>
        <v>2050</v>
      </c>
      <c r="G677" s="104" t="b">
        <f t="shared" si="134"/>
        <v>0</v>
      </c>
      <c r="L677" s="295" t="str">
        <f t="shared" si="133"/>
        <v>2050 год</v>
      </c>
      <c r="M677" s="296"/>
      <c r="N677" s="411"/>
      <c r="O677" s="296"/>
      <c r="P677" s="296"/>
      <c r="Q677" s="411"/>
      <c r="R677" s="411"/>
      <c r="S677" s="411"/>
      <c r="T677" s="557"/>
      <c r="U677" s="558"/>
      <c r="V677" s="559"/>
    </row>
    <row r="678" spans="1:22" s="104" customFormat="1" ht="15" customHeight="1" outlineLevel="1">
      <c r="A678" s="104" t="str">
        <f t="shared" si="131"/>
        <v>1</v>
      </c>
      <c r="F678" s="104">
        <f>first_year+31</f>
        <v>2051</v>
      </c>
      <c r="G678" s="104" t="b">
        <f t="shared" si="134"/>
        <v>0</v>
      </c>
      <c r="L678" s="295" t="str">
        <f t="shared" si="133"/>
        <v>2051 год</v>
      </c>
      <c r="M678" s="296"/>
      <c r="N678" s="411"/>
      <c r="O678" s="296"/>
      <c r="P678" s="296"/>
      <c r="Q678" s="411"/>
      <c r="R678" s="411"/>
      <c r="S678" s="411"/>
      <c r="T678" s="557"/>
      <c r="U678" s="558"/>
      <c r="V678" s="559"/>
    </row>
    <row r="679" spans="1:22" s="104" customFormat="1" ht="15" customHeight="1" outlineLevel="1">
      <c r="A679" s="104" t="str">
        <f t="shared" si="131"/>
        <v>1</v>
      </c>
      <c r="F679" s="104">
        <f>first_year+32</f>
        <v>2052</v>
      </c>
      <c r="G679" s="104" t="b">
        <f t="shared" si="134"/>
        <v>0</v>
      </c>
      <c r="L679" s="295" t="str">
        <f t="shared" si="133"/>
        <v>2052 год</v>
      </c>
      <c r="M679" s="296"/>
      <c r="N679" s="411"/>
      <c r="O679" s="296"/>
      <c r="P679" s="296"/>
      <c r="Q679" s="411"/>
      <c r="R679" s="411"/>
      <c r="S679" s="411"/>
      <c r="T679" s="557"/>
      <c r="U679" s="558"/>
      <c r="V679" s="559"/>
    </row>
    <row r="680" spans="1:22" s="104" customFormat="1" ht="15" customHeight="1" outlineLevel="1">
      <c r="A680" s="104" t="str">
        <f t="shared" si="131"/>
        <v>1</v>
      </c>
      <c r="F680" s="104">
        <f>first_year+33</f>
        <v>2053</v>
      </c>
      <c r="G680" s="104" t="b">
        <f t="shared" si="134"/>
        <v>0</v>
      </c>
      <c r="L680" s="295" t="str">
        <f t="shared" si="133"/>
        <v>2053 год</v>
      </c>
      <c r="M680" s="296"/>
      <c r="N680" s="411"/>
      <c r="O680" s="296"/>
      <c r="P680" s="296"/>
      <c r="Q680" s="411"/>
      <c r="R680" s="411"/>
      <c r="S680" s="411"/>
      <c r="T680" s="557"/>
      <c r="U680" s="558"/>
      <c r="V680" s="559"/>
    </row>
    <row r="681" spans="1:22" s="104" customFormat="1" ht="15" customHeight="1" outlineLevel="1">
      <c r="A681" s="104" t="str">
        <f t="shared" si="131"/>
        <v>1</v>
      </c>
      <c r="F681" s="104">
        <f>first_year+34</f>
        <v>2054</v>
      </c>
      <c r="G681" s="104" t="b">
        <f t="shared" si="134"/>
        <v>0</v>
      </c>
      <c r="L681" s="295" t="str">
        <f t="shared" si="133"/>
        <v>2054 год</v>
      </c>
      <c r="M681" s="296"/>
      <c r="N681" s="411"/>
      <c r="O681" s="296"/>
      <c r="P681" s="296"/>
      <c r="Q681" s="411"/>
      <c r="R681" s="411"/>
      <c r="S681" s="411"/>
      <c r="T681" s="557"/>
      <c r="U681" s="558"/>
      <c r="V681" s="559"/>
    </row>
    <row r="682" spans="1:22" s="104" customFormat="1" ht="15" customHeight="1" outlineLevel="1">
      <c r="A682" s="104" t="str">
        <f t="shared" si="131"/>
        <v>1</v>
      </c>
      <c r="F682" s="104">
        <f>first_year+35</f>
        <v>2055</v>
      </c>
      <c r="G682" s="104" t="b">
        <f t="shared" si="134"/>
        <v>0</v>
      </c>
      <c r="L682" s="295" t="str">
        <f t="shared" si="133"/>
        <v>2055 год</v>
      </c>
      <c r="M682" s="296"/>
      <c r="N682" s="411"/>
      <c r="O682" s="296"/>
      <c r="P682" s="296"/>
      <c r="Q682" s="411"/>
      <c r="R682" s="411"/>
      <c r="S682" s="411"/>
      <c r="T682" s="557"/>
      <c r="U682" s="558"/>
      <c r="V682" s="559"/>
    </row>
    <row r="683" spans="1:22" s="104" customFormat="1" ht="15" customHeight="1" outlineLevel="1">
      <c r="A683" s="104" t="str">
        <f t="shared" si="131"/>
        <v>1</v>
      </c>
      <c r="F683" s="104">
        <f>first_year+36</f>
        <v>2056</v>
      </c>
      <c r="G683" s="104" t="b">
        <f t="shared" si="134"/>
        <v>0</v>
      </c>
      <c r="L683" s="295" t="str">
        <f t="shared" si="133"/>
        <v>2056 год</v>
      </c>
      <c r="M683" s="296"/>
      <c r="N683" s="411"/>
      <c r="O683" s="296"/>
      <c r="P683" s="296"/>
      <c r="Q683" s="411"/>
      <c r="R683" s="411"/>
      <c r="S683" s="411"/>
      <c r="T683" s="557"/>
      <c r="U683" s="558"/>
      <c r="V683" s="559"/>
    </row>
    <row r="684" spans="1:22" s="104" customFormat="1" ht="15" customHeight="1" outlineLevel="1">
      <c r="A684" s="104" t="str">
        <f t="shared" si="131"/>
        <v>1</v>
      </c>
      <c r="F684" s="104">
        <f>first_year+37</f>
        <v>2057</v>
      </c>
      <c r="G684" s="104" t="b">
        <f t="shared" si="134"/>
        <v>0</v>
      </c>
      <c r="L684" s="295" t="str">
        <f t="shared" si="133"/>
        <v>2057 год</v>
      </c>
      <c r="M684" s="296"/>
      <c r="N684" s="411"/>
      <c r="O684" s="296"/>
      <c r="P684" s="296"/>
      <c r="Q684" s="411"/>
      <c r="R684" s="411"/>
      <c r="S684" s="411"/>
      <c r="T684" s="557"/>
      <c r="U684" s="558"/>
      <c r="V684" s="559"/>
    </row>
    <row r="685" spans="1:22" s="104" customFormat="1" ht="15" customHeight="1" outlineLevel="1">
      <c r="A685" s="104" t="str">
        <f t="shared" si="131"/>
        <v>1</v>
      </c>
      <c r="F685" s="104">
        <f>first_year+38</f>
        <v>2058</v>
      </c>
      <c r="G685" s="104" t="b">
        <f t="shared" si="134"/>
        <v>0</v>
      </c>
      <c r="L685" s="295" t="str">
        <f t="shared" si="133"/>
        <v>2058 год</v>
      </c>
      <c r="M685" s="296"/>
      <c r="N685" s="411"/>
      <c r="O685" s="296"/>
      <c r="P685" s="296"/>
      <c r="Q685" s="411"/>
      <c r="R685" s="411"/>
      <c r="S685" s="411"/>
      <c r="T685" s="557"/>
      <c r="U685" s="558"/>
      <c r="V685" s="559"/>
    </row>
    <row r="686" spans="1:22" s="104" customFormat="1" ht="15" customHeight="1" outlineLevel="1">
      <c r="A686" s="104" t="str">
        <f t="shared" si="131"/>
        <v>1</v>
      </c>
      <c r="F686" s="104">
        <f>first_year+39</f>
        <v>2059</v>
      </c>
      <c r="G686" s="104" t="b">
        <f t="shared" si="134"/>
        <v>0</v>
      </c>
      <c r="L686" s="295" t="str">
        <f t="shared" si="133"/>
        <v>2059 год</v>
      </c>
      <c r="M686" s="296"/>
      <c r="N686" s="411"/>
      <c r="O686" s="296"/>
      <c r="P686" s="296"/>
      <c r="Q686" s="411"/>
      <c r="R686" s="411"/>
      <c r="S686" s="411"/>
      <c r="T686" s="557"/>
      <c r="U686" s="558"/>
      <c r="V686" s="559"/>
    </row>
    <row r="687" spans="1:22" s="104" customFormat="1" ht="15" customHeight="1" outlineLevel="1">
      <c r="A687" s="104" t="str">
        <f t="shared" si="131"/>
        <v>1</v>
      </c>
      <c r="F687" s="104">
        <f>first_year+40</f>
        <v>2060</v>
      </c>
      <c r="G687" s="104" t="b">
        <f t="shared" si="134"/>
        <v>0</v>
      </c>
      <c r="L687" s="295" t="str">
        <f t="shared" si="133"/>
        <v>2060 год</v>
      </c>
      <c r="M687" s="296"/>
      <c r="N687" s="411"/>
      <c r="O687" s="296"/>
      <c r="P687" s="296"/>
      <c r="Q687" s="411"/>
      <c r="R687" s="411"/>
      <c r="S687" s="411"/>
      <c r="T687" s="557"/>
      <c r="U687" s="558"/>
      <c r="V687" s="559"/>
    </row>
    <row r="688" spans="1:22" s="104" customFormat="1" ht="15" customHeight="1" outlineLevel="1">
      <c r="A688" s="104" t="str">
        <f t="shared" si="131"/>
        <v>1</v>
      </c>
      <c r="F688" s="104">
        <f>first_year+41</f>
        <v>2061</v>
      </c>
      <c r="G688" s="104" t="b">
        <f t="shared" si="134"/>
        <v>0</v>
      </c>
      <c r="L688" s="295" t="str">
        <f t="shared" si="133"/>
        <v>2061 год</v>
      </c>
      <c r="M688" s="296"/>
      <c r="N688" s="411"/>
      <c r="O688" s="296"/>
      <c r="P688" s="296"/>
      <c r="Q688" s="411"/>
      <c r="R688" s="411"/>
      <c r="S688" s="411"/>
      <c r="T688" s="557"/>
      <c r="U688" s="558"/>
      <c r="V688" s="559"/>
    </row>
    <row r="689" spans="1:27" s="104" customFormat="1" ht="15" customHeight="1" outlineLevel="1">
      <c r="A689" s="104" t="str">
        <f t="shared" si="131"/>
        <v>1</v>
      </c>
      <c r="F689" s="104">
        <f>first_year+42</f>
        <v>2062</v>
      </c>
      <c r="G689" s="104" t="b">
        <f t="shared" si="134"/>
        <v>0</v>
      </c>
      <c r="L689" s="295" t="str">
        <f t="shared" si="133"/>
        <v>2062 год</v>
      </c>
      <c r="M689" s="296"/>
      <c r="N689" s="411"/>
      <c r="O689" s="296"/>
      <c r="P689" s="296"/>
      <c r="Q689" s="411"/>
      <c r="R689" s="411"/>
      <c r="S689" s="411"/>
      <c r="T689" s="557"/>
      <c r="U689" s="558"/>
      <c r="V689" s="559"/>
    </row>
    <row r="690" spans="1:27" s="104" customFormat="1" ht="15" customHeight="1" outlineLevel="1">
      <c r="A690" s="104" t="str">
        <f t="shared" si="131"/>
        <v>1</v>
      </c>
      <c r="F690" s="104">
        <f>first_year+43</f>
        <v>2063</v>
      </c>
      <c r="G690" s="104" t="b">
        <f t="shared" si="134"/>
        <v>0</v>
      </c>
      <c r="L690" s="295" t="str">
        <f t="shared" si="133"/>
        <v>2063 год</v>
      </c>
      <c r="M690" s="296"/>
      <c r="N690" s="411"/>
      <c r="O690" s="296"/>
      <c r="P690" s="296"/>
      <c r="Q690" s="411"/>
      <c r="R690" s="411"/>
      <c r="S690" s="411"/>
      <c r="T690" s="557"/>
      <c r="U690" s="558"/>
      <c r="V690" s="559"/>
    </row>
    <row r="691" spans="1:27" s="104" customFormat="1" ht="15" customHeight="1" outlineLevel="1">
      <c r="A691" s="104" t="str">
        <f t="shared" si="131"/>
        <v>1</v>
      </c>
      <c r="F691" s="104">
        <f>first_year+44</f>
        <v>2064</v>
      </c>
      <c r="G691" s="104" t="b">
        <f t="shared" si="134"/>
        <v>0</v>
      </c>
      <c r="L691" s="295" t="str">
        <f t="shared" si="133"/>
        <v>2064 год</v>
      </c>
      <c r="M691" s="296"/>
      <c r="N691" s="411"/>
      <c r="O691" s="296"/>
      <c r="P691" s="296"/>
      <c r="Q691" s="411"/>
      <c r="R691" s="411"/>
      <c r="S691" s="411"/>
      <c r="T691" s="557"/>
      <c r="U691" s="558"/>
      <c r="V691" s="559"/>
    </row>
    <row r="692" spans="1:27" s="104" customFormat="1" ht="15" customHeight="1" outlineLevel="1">
      <c r="A692" s="104" t="str">
        <f t="shared" si="131"/>
        <v>1</v>
      </c>
      <c r="F692" s="104">
        <f>first_year+45</f>
        <v>2065</v>
      </c>
      <c r="G692" s="104" t="b">
        <f t="shared" si="134"/>
        <v>0</v>
      </c>
      <c r="L692" s="295" t="str">
        <f t="shared" si="133"/>
        <v>2065 год</v>
      </c>
      <c r="M692" s="296"/>
      <c r="N692" s="411"/>
      <c r="O692" s="296"/>
      <c r="P692" s="296"/>
      <c r="Q692" s="411"/>
      <c r="R692" s="411"/>
      <c r="S692" s="411"/>
      <c r="T692" s="557"/>
      <c r="U692" s="558"/>
      <c r="V692" s="559"/>
    </row>
    <row r="693" spans="1:27" s="104" customFormat="1" ht="15" customHeight="1" outlineLevel="1">
      <c r="A693" s="104" t="str">
        <f t="shared" si="131"/>
        <v>1</v>
      </c>
      <c r="F693" s="104">
        <f>first_year+46</f>
        <v>2066</v>
      </c>
      <c r="G693" s="104" t="b">
        <f t="shared" si="134"/>
        <v>0</v>
      </c>
      <c r="L693" s="295" t="str">
        <f t="shared" si="133"/>
        <v>2066 год</v>
      </c>
      <c r="M693" s="296"/>
      <c r="N693" s="411"/>
      <c r="O693" s="296"/>
      <c r="P693" s="296"/>
      <c r="Q693" s="411"/>
      <c r="R693" s="411"/>
      <c r="S693" s="411"/>
      <c r="T693" s="557"/>
      <c r="U693" s="558"/>
      <c r="V693" s="559"/>
    </row>
    <row r="694" spans="1:27" s="104" customFormat="1" ht="15" customHeight="1" outlineLevel="1">
      <c r="A694" s="104" t="str">
        <f t="shared" si="131"/>
        <v>1</v>
      </c>
      <c r="F694" s="104">
        <f>first_year+47</f>
        <v>2067</v>
      </c>
      <c r="G694" s="104" t="b">
        <f t="shared" si="134"/>
        <v>0</v>
      </c>
      <c r="L694" s="295" t="str">
        <f t="shared" si="133"/>
        <v>2067 год</v>
      </c>
      <c r="M694" s="296"/>
      <c r="N694" s="411"/>
      <c r="O694" s="296"/>
      <c r="P694" s="296"/>
      <c r="Q694" s="411"/>
      <c r="R694" s="411"/>
      <c r="S694" s="411"/>
      <c r="T694" s="557"/>
      <c r="U694" s="558"/>
      <c r="V694" s="559"/>
    </row>
    <row r="695" spans="1:27" s="104" customFormat="1" ht="15" customHeight="1" outlineLevel="1">
      <c r="A695" s="104" t="str">
        <f t="shared" si="131"/>
        <v>1</v>
      </c>
      <c r="F695" s="104">
        <f>first_year+48</f>
        <v>2068</v>
      </c>
      <c r="G695" s="104" t="b">
        <f t="shared" si="134"/>
        <v>0</v>
      </c>
      <c r="L695" s="295" t="str">
        <f t="shared" si="133"/>
        <v>2068 год</v>
      </c>
      <c r="M695" s="296"/>
      <c r="N695" s="411"/>
      <c r="O695" s="296"/>
      <c r="P695" s="296"/>
      <c r="Q695" s="411"/>
      <c r="R695" s="411"/>
      <c r="S695" s="411"/>
      <c r="T695" s="557"/>
      <c r="U695" s="558"/>
      <c r="V695" s="559"/>
    </row>
    <row r="696" spans="1:27" s="104" customFormat="1" ht="15" customHeight="1" outlineLevel="1">
      <c r="A696" s="104" t="str">
        <f t="shared" si="131"/>
        <v>1</v>
      </c>
      <c r="F696" s="104">
        <f>first_year+49</f>
        <v>2069</v>
      </c>
      <c r="G696" s="104" t="b">
        <f>F696&lt;first_year+PERIOD_LENGTH</f>
        <v>0</v>
      </c>
      <c r="L696" s="295" t="str">
        <f>F696&amp; " год"</f>
        <v>2069 год</v>
      </c>
      <c r="M696" s="296"/>
      <c r="N696" s="411"/>
      <c r="O696" s="296"/>
      <c r="P696" s="296"/>
      <c r="Q696" s="411"/>
      <c r="R696" s="411"/>
      <c r="S696" s="411"/>
      <c r="T696" s="557"/>
      <c r="U696" s="558"/>
      <c r="V696" s="559"/>
    </row>
    <row r="697" spans="1:27" s="484" customFormat="1">
      <c r="A697" s="483" t="s">
        <v>1311</v>
      </c>
      <c r="M697" s="485"/>
      <c r="N697" s="485"/>
      <c r="O697" s="485"/>
      <c r="P697" s="485"/>
      <c r="AA697" s="486"/>
    </row>
    <row r="698" spans="1:27" s="101" customFormat="1" ht="15" customHeight="1">
      <c r="A698" s="86" t="s">
        <v>18</v>
      </c>
      <c r="L698" s="264" t="str">
        <f>INDEX('Общие сведения'!$J$114:$J$140,MATCH($A698,'Общие сведения'!$D$114:$D$140,0))</f>
        <v>Тариф 1 (Водоотведение) - тариф на транспортировку сточных вод</v>
      </c>
      <c r="M698" s="265"/>
      <c r="N698" s="265"/>
      <c r="O698" s="265"/>
      <c r="P698" s="265"/>
      <c r="Q698" s="265"/>
      <c r="R698" s="265"/>
      <c r="S698" s="265"/>
      <c r="T698" s="265"/>
      <c r="U698" s="265"/>
      <c r="V698" s="556"/>
    </row>
    <row r="699" spans="1:27" s="104" customFormat="1" ht="15" customHeight="1" outlineLevel="1">
      <c r="A699" s="104" t="str">
        <f t="shared" ref="A699:A748" si="135">A698</f>
        <v>1</v>
      </c>
      <c r="F699" s="104">
        <f>first_year</f>
        <v>2020</v>
      </c>
      <c r="G699" s="104" t="b">
        <f t="shared" ref="G699:G707" si="136">F699&lt;first_year+PERIOD_LENGTH</f>
        <v>1</v>
      </c>
      <c r="L699" s="295" t="str">
        <f t="shared" ref="L699:L747" si="137">F699&amp; " год"</f>
        <v>2020 год</v>
      </c>
      <c r="M699" s="296">
        <f>IFERROR(SUMIFS(INDEX(Калькуляция!$O$15:$AM$266,,MATCH(F699&amp;"Принято органом регулирования",Калькуляция!$O$3:$AM$3,0)),Калькуляция!$A$15:$A$266,A699,Калькуляция!$M$15:$M$266,"Операционные расходы"),0)</f>
        <v>0</v>
      </c>
      <c r="N699" s="411">
        <f>IFERROR(SUMIFS(INDEX(Сценарии!$O$15:$AP$53,,MATCH($F699&amp;"Принято органом регулирования",Сценарии!$O$3:$AP$3,0)),Сценарии!$A$15:$A$53,$A699,Сценарии!$M$15:$M$53,"Индекс эффективности операционных расходов"),0)</f>
        <v>0</v>
      </c>
      <c r="O699" s="296"/>
      <c r="P699" s="557"/>
      <c r="Q699" s="411">
        <f>IFERROR(SUMIFS(INDEX(ЭЭ!$O$15:$AL$38,,MATCH($F699&amp;"Принято органом регулирования",ЭЭ!$O$3:$AL$3,0)),ЭЭ!$A$15:$A$38,$A699,ЭЭ!$M$15:$M$38,"Удельный расход электроэнергии"),0)</f>
        <v>0</v>
      </c>
      <c r="R699" s="557"/>
      <c r="S699" s="557"/>
      <c r="T699" s="411">
        <f>IFERROR(SUMIFS(INDEX(ЭЭ!$O$15:$AL$38,,MATCH($F699&amp;"Принято органом регулирования",ЭЭ!$O$3:$AL$3,0)),ЭЭ!$A$15:$A$38,$A699,ЭЭ!$M$15:$M$38,"Удельный расход электроэнергии"),0)</f>
        <v>0</v>
      </c>
      <c r="U699" s="411">
        <f>IFERROR(SUMIFS(INDEX(ЭЭ!$O$15:$AL$38,,MATCH($F699&amp;"Принято органом регулирования",ЭЭ!$O$3:$AL$3,0)),ЭЭ!$A$15:$A$38,$A699,ЭЭ!$M$15:$M$38,"Удельный расход электроэнергии"),0)</f>
        <v>0</v>
      </c>
      <c r="V699" s="559"/>
    </row>
    <row r="700" spans="1:27" s="104" customFormat="1" ht="15" customHeight="1" outlineLevel="1">
      <c r="A700" s="104" t="str">
        <f t="shared" si="135"/>
        <v>1</v>
      </c>
      <c r="F700" s="104">
        <f>first_year+1</f>
        <v>2021</v>
      </c>
      <c r="G700" s="104" t="b">
        <f t="shared" si="136"/>
        <v>1</v>
      </c>
      <c r="L700" s="295" t="str">
        <f t="shared" si="137"/>
        <v>2021 год</v>
      </c>
      <c r="M700" s="296">
        <f>IFERROR(SUMIFS(INDEX(Калькуляция!$O$15:$AM$266,,MATCH(F700&amp;"Принято органом регулирования",Калькуляция!$O$3:$AM$3,0)),Калькуляция!$A$15:$A$266,A700,Калькуляция!$M$15:$M$266,"Операционные расходы"),0)</f>
        <v>0</v>
      </c>
      <c r="N700" s="411">
        <f>IFERROR(SUMIFS(INDEX(Сценарии!$O$15:$AP$53,,MATCH(F700&amp;"Принято органом регулирования",Сценарии!$O$3:$AP$3,0)),Сценарии!$A$15:$A$53,A700,Сценарии!$M$15:$M$53,"Индекс эффективности операционных расходов"),0)</f>
        <v>0</v>
      </c>
      <c r="O700" s="296"/>
      <c r="P700" s="557"/>
      <c r="Q700" s="411">
        <f>IFERROR(SUMIFS(INDEX(ЭЭ!$O$15:$AL$38,,MATCH($F700&amp;"Принято органом регулирования",ЭЭ!$O$3:$AL$3,0)),ЭЭ!$A$15:$A$38,$A700,ЭЭ!$M$15:$M$38,"Удельный расход электроэнергии"),0)</f>
        <v>0</v>
      </c>
      <c r="R700" s="557"/>
      <c r="S700" s="557"/>
      <c r="T700" s="411">
        <f>IFERROR(SUMIFS(INDEX(ЭЭ!$O$15:$AL$38,,MATCH($F700&amp;"Принято органом регулирования",ЭЭ!$O$3:$AL$3,0)),ЭЭ!$A$15:$A$38,$A700,ЭЭ!$M$15:$M$38,"Удельный расход электроэнергии"),0)</f>
        <v>0</v>
      </c>
      <c r="U700" s="411">
        <f>IFERROR(SUMIFS(INDEX(ЭЭ!$O$15:$AL$38,,MATCH($F700&amp;"Принято органом регулирования",ЭЭ!$O$3:$AL$3,0)),ЭЭ!$A$15:$A$38,$A700,ЭЭ!$M$15:$M$38,"Удельный расход электроэнергии"),0)</f>
        <v>0</v>
      </c>
      <c r="V700" s="559"/>
    </row>
    <row r="701" spans="1:27" s="104" customFormat="1" ht="15" customHeight="1" outlineLevel="1">
      <c r="A701" s="104" t="str">
        <f t="shared" si="135"/>
        <v>1</v>
      </c>
      <c r="F701" s="104">
        <f>first_year+2</f>
        <v>2022</v>
      </c>
      <c r="G701" s="104" t="b">
        <f t="shared" si="136"/>
        <v>1</v>
      </c>
      <c r="L701" s="295" t="str">
        <f t="shared" si="137"/>
        <v>2022 год</v>
      </c>
      <c r="M701" s="296">
        <f>IFERROR(SUMIFS(INDEX(Калькуляция!$O$15:$AM$266,,MATCH(F701&amp;"Принято органом регулирования",Калькуляция!$O$3:$AM$3,0)),Калькуляция!$A$15:$A$266,A701,Калькуляция!$M$15:$M$266,"Операционные расходы"),0)</f>
        <v>1702.09</v>
      </c>
      <c r="N701" s="411">
        <f>IFERROR(SUMIFS(INDEX(Сценарии!$O$15:$AP$53,,MATCH(F701&amp;"Принято органом регулирования",Сценарии!$O$3:$AP$3,0)),Сценарии!$A$15:$A$53,A701,Сценарии!$M$15:$M$53,"Индекс эффективности операционных расходов"),0)</f>
        <v>1</v>
      </c>
      <c r="O701" s="296"/>
      <c r="P701" s="557"/>
      <c r="Q701" s="411">
        <f>IFERROR(SUMIFS(INDEX(ЭЭ!$O$15:$AL$38,,MATCH($F701&amp;"Принято органом регулирования",ЭЭ!$O$3:$AL$3,0)),ЭЭ!$A$15:$A$38,$A701,ЭЭ!$M$15:$M$38,"Удельный расход электроэнергии"),0)</f>
        <v>2.3305084745762712E-2</v>
      </c>
      <c r="R701" s="557"/>
      <c r="S701" s="557"/>
      <c r="T701" s="411">
        <f>IFERROR(SUMIFS(INDEX(ЭЭ!$O$15:$AL$38,,MATCH($F701&amp;"Принято органом регулирования",ЭЭ!$O$3:$AL$3,0)),ЭЭ!$A$15:$A$38,$A701,ЭЭ!$M$15:$M$38,"Удельный расход электроэнергии"),0)</f>
        <v>2.3305084745762712E-2</v>
      </c>
      <c r="U701" s="411">
        <f>IFERROR(SUMIFS(INDEX(ЭЭ!$O$15:$AL$38,,MATCH($F701&amp;"Принято органом регулирования",ЭЭ!$O$3:$AL$3,0)),ЭЭ!$A$15:$A$38,$A701,ЭЭ!$M$15:$M$38,"Удельный расход электроэнергии"),0)</f>
        <v>2.3305084745762712E-2</v>
      </c>
      <c r="V701" s="559"/>
    </row>
    <row r="702" spans="1:27" s="104" customFormat="1" ht="15" customHeight="1" outlineLevel="1">
      <c r="A702" s="104" t="str">
        <f t="shared" si="135"/>
        <v>1</v>
      </c>
      <c r="F702" s="104">
        <f>first_year+3</f>
        <v>2023</v>
      </c>
      <c r="G702" s="104" t="b">
        <f t="shared" si="136"/>
        <v>1</v>
      </c>
      <c r="L702" s="295" t="str">
        <f t="shared" si="137"/>
        <v>2023 год</v>
      </c>
      <c r="M702" s="296">
        <f>IFERROR(SUMIFS(INDEX(Калькуляция!$O$15:$AM$266,,MATCH(F702&amp;"Принято органом регулирования",Калькуляция!$O$3:$AM$3,0)),Калькуляция!$A$15:$A$266,A702,Калькуляция!$M$15:$M$266,"Операционные расходы"),0)</f>
        <v>1963.45</v>
      </c>
      <c r="N702" s="411">
        <f>IFERROR(SUMIFS(INDEX(Сценарии!$O$15:$AP$53,,MATCH(F702&amp;"Принято органом регулирования",Сценарии!$O$3:$AP$3,0)),Сценарии!$A$15:$A$53,A702,Сценарии!$M$15:$M$53,"Индекс эффективности операционных расходов"),0)</f>
        <v>1</v>
      </c>
      <c r="O702" s="296"/>
      <c r="P702" s="557"/>
      <c r="Q702" s="411">
        <f>IFERROR(SUMIFS(INDEX(ЭЭ!$O$15:$AL$38,,MATCH($F702&amp;"Принято органом регулирования",ЭЭ!$O$3:$AL$3,0)),ЭЭ!$A$15:$A$38,$A702,ЭЭ!$M$15:$M$38,"Удельный расход электроэнергии"),0)</f>
        <v>2.3298117959840482E-2</v>
      </c>
      <c r="R702" s="557"/>
      <c r="S702" s="557"/>
      <c r="T702" s="411">
        <f>IFERROR(SUMIFS(INDEX(ЭЭ!$O$15:$AL$38,,MATCH($F702&amp;"Принято органом регулирования",ЭЭ!$O$3:$AL$3,0)),ЭЭ!$A$15:$A$38,$A702,ЭЭ!$M$15:$M$38,"Удельный расход электроэнергии"),0)</f>
        <v>2.3298117959840482E-2</v>
      </c>
      <c r="U702" s="411">
        <f>IFERROR(SUMIFS(INDEX(ЭЭ!$O$15:$AL$38,,MATCH($F702&amp;"Принято органом регулирования",ЭЭ!$O$3:$AL$3,0)),ЭЭ!$A$15:$A$38,$A702,ЭЭ!$M$15:$M$38,"Удельный расход электроэнергии"),0)</f>
        <v>2.3298117959840482E-2</v>
      </c>
      <c r="V702" s="559"/>
    </row>
    <row r="703" spans="1:27" s="104" customFormat="1" ht="15" customHeight="1" outlineLevel="1">
      <c r="A703" s="104" t="str">
        <f t="shared" si="135"/>
        <v>1</v>
      </c>
      <c r="F703" s="104">
        <f>first_year+4</f>
        <v>2024</v>
      </c>
      <c r="G703" s="104" t="b">
        <f t="shared" si="136"/>
        <v>1</v>
      </c>
      <c r="L703" s="295" t="str">
        <f t="shared" si="137"/>
        <v>2024 год</v>
      </c>
      <c r="M703" s="296">
        <f>IFERROR(SUMIFS(INDEX(Калькуляция!$O$15:$AM$266,,MATCH(F703&amp;"Принято органом регулирования",Калькуляция!$O$3:$AM$3,0)),Калькуляция!$A$15:$A$266,A703,Калькуляция!$M$15:$M$266,"Операционные расходы"),0)</f>
        <v>2083.77</v>
      </c>
      <c r="N703" s="411">
        <f>IFERROR(SUMIFS(INDEX(Сценарии!$O$15:$AP$53,,MATCH(F703&amp;"Принято органом регулирования",Сценарии!$O$3:$AP$3,0)),Сценарии!$A$15:$A$53,A703,Сценарии!$M$15:$M$53,"Индекс эффективности операционных расходов"),0)</f>
        <v>1</v>
      </c>
      <c r="O703" s="296"/>
      <c r="P703" s="557"/>
      <c r="Q703" s="411">
        <f>IFERROR(SUMIFS(INDEX(ЭЭ!$O$15:$AL$38,,MATCH($F703&amp;"Принято органом регулирования",ЭЭ!$O$3:$AL$3,0)),ЭЭ!$A$15:$A$38,$A703,ЭЭ!$M$15:$M$38,"Удельный расход электроэнергии"),0)</f>
        <v>2.3293829178586026E-2</v>
      </c>
      <c r="R703" s="557"/>
      <c r="S703" s="557"/>
      <c r="T703" s="411">
        <f>IFERROR(SUMIFS(INDEX(ЭЭ!$O$15:$AL$38,,MATCH($F703&amp;"Принято органом регулирования",ЭЭ!$O$3:$AL$3,0)),ЭЭ!$A$15:$A$38,$A703,ЭЭ!$M$15:$M$38,"Удельный расход электроэнергии"),0)</f>
        <v>2.3293829178586026E-2</v>
      </c>
      <c r="U703" s="411">
        <f>IFERROR(SUMIFS(INDEX(ЭЭ!$O$15:$AL$38,,MATCH($F703&amp;"Принято органом регулирования",ЭЭ!$O$3:$AL$3,0)),ЭЭ!$A$15:$A$38,$A703,ЭЭ!$M$15:$M$38,"Удельный расход электроэнергии"),0)</f>
        <v>2.3293829178586026E-2</v>
      </c>
      <c r="V703" s="559"/>
    </row>
    <row r="704" spans="1:27" s="104" customFormat="1" ht="15" customHeight="1" outlineLevel="1">
      <c r="A704" s="104" t="str">
        <f t="shared" si="135"/>
        <v>1</v>
      </c>
      <c r="F704" s="104">
        <f>first_year+5</f>
        <v>2025</v>
      </c>
      <c r="G704" s="104" t="b">
        <f t="shared" si="136"/>
        <v>0</v>
      </c>
      <c r="L704" s="295" t="str">
        <f t="shared" si="137"/>
        <v>2025 год</v>
      </c>
      <c r="M704" s="296">
        <f>IFERROR(SUMIFS(INDEX(Калькуляция!$O$15:$AM$266,,MATCH(F704&amp;"Принято органом регулирования",Калькуляция!$O$3:$AM$3,0)),Калькуляция!$A$15:$A$266,A704,Калькуляция!$M$15:$M$266,"Операционные расходы"),0)</f>
        <v>2083.77</v>
      </c>
      <c r="N704" s="411">
        <f>IFERROR(SUMIFS(INDEX(Сценарии!$O$15:$AP$53,,MATCH(F704&amp;"Принято органом регулирования",Сценарии!$O$3:$AP$3,0)),Сценарии!$A$15:$A$53,A704,Сценарии!$M$15:$M$53,"Индекс эффективности операционных расходов"),0)</f>
        <v>0</v>
      </c>
      <c r="O704" s="296"/>
      <c r="P704" s="557"/>
      <c r="Q704" s="411">
        <f>IFERROR(SUMIFS(INDEX(ЭЭ!$O$15:$AL$38,,MATCH($F704&amp;"Принято органом регулирования",ЭЭ!$O$3:$AL$3,0)),ЭЭ!$A$15:$A$38,$A704,ЭЭ!$M$15:$M$38,"Удельный расход электроэнергии"),0)</f>
        <v>0</v>
      </c>
      <c r="R704" s="557"/>
      <c r="S704" s="557"/>
      <c r="T704" s="411">
        <f>IFERROR(SUMIFS(INDEX(ЭЭ!$O$15:$AL$38,,MATCH($F704&amp;"Принято органом регулирования",ЭЭ!$O$3:$AL$3,0)),ЭЭ!$A$15:$A$38,$A704,ЭЭ!$M$15:$M$38,"Удельный расход электроэнергии"),0)</f>
        <v>0</v>
      </c>
      <c r="U704" s="411">
        <f>IFERROR(SUMIFS(INDEX(ЭЭ!$O$15:$AL$38,,MATCH($F704&amp;"Принято органом регулирования",ЭЭ!$O$3:$AL$3,0)),ЭЭ!$A$15:$A$38,$A704,ЭЭ!$M$15:$M$38,"Удельный расход электроэнергии"),0)</f>
        <v>0</v>
      </c>
      <c r="V704" s="559"/>
    </row>
    <row r="705" spans="1:22" s="104" customFormat="1" ht="15" customHeight="1" outlineLevel="1">
      <c r="A705" s="104" t="str">
        <f t="shared" si="135"/>
        <v>1</v>
      </c>
      <c r="F705" s="104">
        <f>first_year+6</f>
        <v>2026</v>
      </c>
      <c r="G705" s="104" t="b">
        <f t="shared" si="136"/>
        <v>0</v>
      </c>
      <c r="L705" s="295" t="str">
        <f t="shared" si="137"/>
        <v>2026 год</v>
      </c>
      <c r="M705" s="296">
        <f>IFERROR(SUMIFS(INDEX(Калькуляция!$O$15:$AM$266,,MATCH(F705&amp;"Принято органом регулирования",Калькуляция!$O$3:$AM$3,0)),Калькуляция!$A$15:$A$266,A705,Калькуляция!$M$15:$M$266,"Операционные расходы"),0)</f>
        <v>2083.77</v>
      </c>
      <c r="N705" s="411">
        <f>IFERROR(SUMIFS(INDEX(Сценарии!$O$15:$AP$53,,MATCH(F705&amp;"Принято органом регулирования",Сценарии!$O$3:$AP$3,0)),Сценарии!$A$15:$A$53,A705,Сценарии!$M$15:$M$53,"Индекс эффективности операционных расходов"),0)</f>
        <v>0</v>
      </c>
      <c r="O705" s="296"/>
      <c r="P705" s="557"/>
      <c r="Q705" s="411">
        <f>IFERROR(SUMIFS(INDEX(ЭЭ!$O$15:$AL$38,,MATCH($F705&amp;"Принято органом регулирования",ЭЭ!$O$3:$AL$3,0)),ЭЭ!$A$15:$A$38,$A705,ЭЭ!$M$15:$M$38,"Удельный расход электроэнергии"),0)</f>
        <v>0</v>
      </c>
      <c r="R705" s="557"/>
      <c r="S705" s="557"/>
      <c r="T705" s="411">
        <f>IFERROR(SUMIFS(INDEX(ЭЭ!$O$15:$AL$38,,MATCH($F705&amp;"Принято органом регулирования",ЭЭ!$O$3:$AL$3,0)),ЭЭ!$A$15:$A$38,$A705,ЭЭ!$M$15:$M$38,"Удельный расход электроэнергии"),0)</f>
        <v>0</v>
      </c>
      <c r="U705" s="411">
        <f>IFERROR(SUMIFS(INDEX(ЭЭ!$O$15:$AL$38,,MATCH($F705&amp;"Принято органом регулирования",ЭЭ!$O$3:$AL$3,0)),ЭЭ!$A$15:$A$38,$A705,ЭЭ!$M$15:$M$38,"Удельный расход электроэнергии"),0)</f>
        <v>0</v>
      </c>
      <c r="V705" s="559"/>
    </row>
    <row r="706" spans="1:22" s="104" customFormat="1" ht="15" customHeight="1" outlineLevel="1">
      <c r="A706" s="104" t="str">
        <f t="shared" si="135"/>
        <v>1</v>
      </c>
      <c r="F706" s="104">
        <f>first_year+7</f>
        <v>2027</v>
      </c>
      <c r="G706" s="104" t="b">
        <f t="shared" si="136"/>
        <v>0</v>
      </c>
      <c r="L706" s="295" t="str">
        <f t="shared" si="137"/>
        <v>2027 год</v>
      </c>
      <c r="M706" s="296">
        <f>IFERROR(SUMIFS(INDEX(Калькуляция!$O$15:$AM$266,,MATCH(F706&amp;"Принято органом регулирования",Калькуляция!$O$3:$AM$3,0)),Калькуляция!$A$15:$A$266,A706,Калькуляция!$M$15:$M$266,"Операционные расходы"),0)</f>
        <v>2083.77</v>
      </c>
      <c r="N706" s="411">
        <f>IFERROR(SUMIFS(INDEX(Сценарии!$O$15:$AP$53,,MATCH(F706&amp;"Принято органом регулирования",Сценарии!$O$3:$AP$3,0)),Сценарии!$A$15:$A$53,A706,Сценарии!$M$15:$M$53,"Индекс эффективности операционных расходов"),0)</f>
        <v>0</v>
      </c>
      <c r="O706" s="296"/>
      <c r="P706" s="557"/>
      <c r="Q706" s="411">
        <f>IFERROR(SUMIFS(INDEX(ЭЭ!$O$15:$AL$38,,MATCH($F706&amp;"Принято органом регулирования",ЭЭ!$O$3:$AL$3,0)),ЭЭ!$A$15:$A$38,$A706,ЭЭ!$M$15:$M$38,"Удельный расход электроэнергии"),0)</f>
        <v>0</v>
      </c>
      <c r="R706" s="557"/>
      <c r="S706" s="557"/>
      <c r="T706" s="411">
        <f>IFERROR(SUMIFS(INDEX(ЭЭ!$O$15:$AL$38,,MATCH($F706&amp;"Принято органом регулирования",ЭЭ!$O$3:$AL$3,0)),ЭЭ!$A$15:$A$38,$A706,ЭЭ!$M$15:$M$38,"Удельный расход электроэнергии"),0)</f>
        <v>0</v>
      </c>
      <c r="U706" s="411">
        <f>IFERROR(SUMIFS(INDEX(ЭЭ!$O$15:$AL$38,,MATCH($F706&amp;"Принято органом регулирования",ЭЭ!$O$3:$AL$3,0)),ЭЭ!$A$15:$A$38,$A706,ЭЭ!$M$15:$M$38,"Удельный расход электроэнергии"),0)</f>
        <v>0</v>
      </c>
      <c r="V706" s="559"/>
    </row>
    <row r="707" spans="1:22" s="104" customFormat="1" ht="15" customHeight="1" outlineLevel="1">
      <c r="A707" s="104" t="str">
        <f t="shared" si="135"/>
        <v>1</v>
      </c>
      <c r="F707" s="104">
        <f>first_year+8</f>
        <v>2028</v>
      </c>
      <c r="G707" s="104" t="b">
        <f t="shared" si="136"/>
        <v>0</v>
      </c>
      <c r="L707" s="295" t="str">
        <f t="shared" si="137"/>
        <v>2028 год</v>
      </c>
      <c r="M707" s="296">
        <f>IFERROR(SUMIFS(INDEX(Калькуляция!$O$15:$AM$266,,MATCH(F707&amp;"Принято органом регулирования",Калькуляция!$O$3:$AM$3,0)),Калькуляция!$A$15:$A$266,A707,Калькуляция!$M$15:$M$266,"Операционные расходы"),0)</f>
        <v>2083.77</v>
      </c>
      <c r="N707" s="411">
        <f>IFERROR(SUMIFS(INDEX(Сценарии!$O$15:$AP$53,,MATCH(F707&amp;"Принято органом регулирования",Сценарии!$O$3:$AP$3,0)),Сценарии!$A$15:$A$53,A707,Сценарии!$M$15:$M$53,"Индекс эффективности операционных расходов"),0)</f>
        <v>0</v>
      </c>
      <c r="O707" s="296"/>
      <c r="P707" s="557"/>
      <c r="Q707" s="411">
        <f>IFERROR(SUMIFS(INDEX(ЭЭ!$O$15:$AL$38,,MATCH($F707&amp;"Принято органом регулирования",ЭЭ!$O$3:$AL$3,0)),ЭЭ!$A$15:$A$38,$A707,ЭЭ!$M$15:$M$38,"Удельный расход электроэнергии"),0)</f>
        <v>0</v>
      </c>
      <c r="R707" s="557"/>
      <c r="S707" s="557"/>
      <c r="T707" s="411">
        <f>IFERROR(SUMIFS(INDEX(ЭЭ!$O$15:$AL$38,,MATCH($F707&amp;"Принято органом регулирования",ЭЭ!$O$3:$AL$3,0)),ЭЭ!$A$15:$A$38,$A707,ЭЭ!$M$15:$M$38,"Удельный расход электроэнергии"),0)</f>
        <v>0</v>
      </c>
      <c r="U707" s="411">
        <f>IFERROR(SUMIFS(INDEX(ЭЭ!$O$15:$AL$38,,MATCH($F707&amp;"Принято органом регулирования",ЭЭ!$O$3:$AL$3,0)),ЭЭ!$A$15:$A$38,$A707,ЭЭ!$M$15:$M$38,"Удельный расход электроэнергии"),0)</f>
        <v>0</v>
      </c>
      <c r="V707" s="559"/>
    </row>
    <row r="708" spans="1:22" s="104" customFormat="1" ht="15" customHeight="1" outlineLevel="1">
      <c r="A708" s="104" t="str">
        <f t="shared" si="135"/>
        <v>1</v>
      </c>
      <c r="F708" s="104">
        <f>first_year+9</f>
        <v>2029</v>
      </c>
      <c r="G708" s="104" t="b">
        <f t="shared" ref="G708:G747" si="138">F708&lt;first_year+PERIOD_LENGTH</f>
        <v>0</v>
      </c>
      <c r="L708" s="295" t="str">
        <f t="shared" si="137"/>
        <v>2029 год</v>
      </c>
      <c r="M708" s="296">
        <f>IFERROR(SUMIFS(INDEX(Калькуляция!$O$15:$AM$266,,MATCH(F708&amp;"Принято органом регулирования",Калькуляция!$O$3:$AM$3,0)),Калькуляция!$A$15:$A$266,A708,Калькуляция!$M$15:$M$266,"Операционные расходы"),0)</f>
        <v>2083.77</v>
      </c>
      <c r="N708" s="411">
        <f>IFERROR(SUMIFS(INDEX(Сценарии!$O$15:$AP$53,,MATCH(F708&amp;"Принято органом регулирования",Сценарии!$O$3:$AP$3,0)),Сценарии!$A$15:$A$53,A708,Сценарии!$M$15:$M$53,"Индекс эффективности операционных расходов"),0)</f>
        <v>0</v>
      </c>
      <c r="O708" s="296"/>
      <c r="P708" s="557"/>
      <c r="Q708" s="411">
        <f>IFERROR(SUMIFS(INDEX(ЭЭ!$O$15:$AL$38,,MATCH($F708&amp;"Принято органом регулирования",ЭЭ!$O$3:$AL$3,0)),ЭЭ!$A$15:$A$38,$A708,ЭЭ!$M$15:$M$38,"Удельный расход электроэнергии"),0)</f>
        <v>0</v>
      </c>
      <c r="R708" s="557"/>
      <c r="S708" s="557"/>
      <c r="T708" s="411">
        <f>IFERROR(SUMIFS(INDEX(ЭЭ!$O$15:$AL$38,,MATCH($F708&amp;"Принято органом регулирования",ЭЭ!$O$3:$AL$3,0)),ЭЭ!$A$15:$A$38,$A708,ЭЭ!$M$15:$M$38,"Удельный расход электроэнергии"),0)</f>
        <v>0</v>
      </c>
      <c r="U708" s="411">
        <f>IFERROR(SUMIFS(INDEX(ЭЭ!$O$15:$AL$38,,MATCH($F708&amp;"Принято органом регулирования",ЭЭ!$O$3:$AL$3,0)),ЭЭ!$A$15:$A$38,$A708,ЭЭ!$M$15:$M$38,"Удельный расход электроэнергии"),0)</f>
        <v>0</v>
      </c>
      <c r="V708" s="559"/>
    </row>
    <row r="709" spans="1:22" s="104" customFormat="1" ht="15" customHeight="1" outlineLevel="1">
      <c r="A709" s="104" t="str">
        <f t="shared" si="135"/>
        <v>1</v>
      </c>
      <c r="F709" s="104">
        <f>first_year+10</f>
        <v>2030</v>
      </c>
      <c r="G709" s="104" t="b">
        <f t="shared" si="138"/>
        <v>0</v>
      </c>
      <c r="L709" s="295" t="str">
        <f t="shared" si="137"/>
        <v>2030 год</v>
      </c>
      <c r="M709" s="296"/>
      <c r="N709" s="411"/>
      <c r="O709" s="296"/>
      <c r="P709" s="557"/>
      <c r="Q709" s="411"/>
      <c r="R709" s="557"/>
      <c r="S709" s="557"/>
      <c r="T709" s="411"/>
      <c r="U709" s="411"/>
      <c r="V709" s="559"/>
    </row>
    <row r="710" spans="1:22" s="104" customFormat="1" ht="15" customHeight="1" outlineLevel="1">
      <c r="A710" s="104" t="str">
        <f t="shared" si="135"/>
        <v>1</v>
      </c>
      <c r="F710" s="104">
        <f>first_year+11</f>
        <v>2031</v>
      </c>
      <c r="G710" s="104" t="b">
        <f t="shared" si="138"/>
        <v>0</v>
      </c>
      <c r="L710" s="295" t="str">
        <f t="shared" si="137"/>
        <v>2031 год</v>
      </c>
      <c r="M710" s="296"/>
      <c r="N710" s="411"/>
      <c r="O710" s="296"/>
      <c r="P710" s="557"/>
      <c r="Q710" s="411"/>
      <c r="R710" s="557"/>
      <c r="S710" s="557"/>
      <c r="T710" s="411"/>
      <c r="U710" s="411"/>
      <c r="V710" s="559"/>
    </row>
    <row r="711" spans="1:22" s="104" customFormat="1" ht="15" customHeight="1" outlineLevel="1">
      <c r="A711" s="104" t="str">
        <f t="shared" si="135"/>
        <v>1</v>
      </c>
      <c r="F711" s="104">
        <f>first_year+12</f>
        <v>2032</v>
      </c>
      <c r="G711" s="104" t="b">
        <f t="shared" si="138"/>
        <v>0</v>
      </c>
      <c r="L711" s="295" t="str">
        <f t="shared" si="137"/>
        <v>2032 год</v>
      </c>
      <c r="M711" s="296"/>
      <c r="N711" s="411"/>
      <c r="O711" s="296"/>
      <c r="P711" s="557"/>
      <c r="Q711" s="411"/>
      <c r="R711" s="557"/>
      <c r="S711" s="557"/>
      <c r="T711" s="411"/>
      <c r="U711" s="411"/>
      <c r="V711" s="559"/>
    </row>
    <row r="712" spans="1:22" s="104" customFormat="1" ht="15" customHeight="1" outlineLevel="1">
      <c r="A712" s="104" t="str">
        <f t="shared" si="135"/>
        <v>1</v>
      </c>
      <c r="F712" s="104">
        <f>first_year+13</f>
        <v>2033</v>
      </c>
      <c r="G712" s="104" t="b">
        <f t="shared" si="138"/>
        <v>0</v>
      </c>
      <c r="L712" s="295" t="str">
        <f t="shared" si="137"/>
        <v>2033 год</v>
      </c>
      <c r="M712" s="296"/>
      <c r="N712" s="411"/>
      <c r="O712" s="296"/>
      <c r="P712" s="557"/>
      <c r="Q712" s="411"/>
      <c r="R712" s="557"/>
      <c r="S712" s="557"/>
      <c r="T712" s="411"/>
      <c r="U712" s="411"/>
      <c r="V712" s="559"/>
    </row>
    <row r="713" spans="1:22" s="104" customFormat="1" ht="15" customHeight="1" outlineLevel="1">
      <c r="A713" s="104" t="str">
        <f t="shared" si="135"/>
        <v>1</v>
      </c>
      <c r="F713" s="104">
        <f>first_year+14</f>
        <v>2034</v>
      </c>
      <c r="G713" s="104" t="b">
        <f t="shared" si="138"/>
        <v>0</v>
      </c>
      <c r="L713" s="295" t="str">
        <f t="shared" si="137"/>
        <v>2034 год</v>
      </c>
      <c r="M713" s="296"/>
      <c r="N713" s="411"/>
      <c r="O713" s="296"/>
      <c r="P713" s="557"/>
      <c r="Q713" s="411"/>
      <c r="R713" s="557"/>
      <c r="S713" s="557"/>
      <c r="T713" s="411"/>
      <c r="U713" s="411"/>
      <c r="V713" s="559"/>
    </row>
    <row r="714" spans="1:22" s="104" customFormat="1" ht="15" customHeight="1" outlineLevel="1">
      <c r="A714" s="104" t="str">
        <f t="shared" si="135"/>
        <v>1</v>
      </c>
      <c r="F714" s="104">
        <f>first_year+15</f>
        <v>2035</v>
      </c>
      <c r="G714" s="104" t="b">
        <f t="shared" si="138"/>
        <v>0</v>
      </c>
      <c r="L714" s="295" t="str">
        <f t="shared" si="137"/>
        <v>2035 год</v>
      </c>
      <c r="M714" s="296"/>
      <c r="N714" s="411"/>
      <c r="O714" s="296"/>
      <c r="P714" s="557"/>
      <c r="Q714" s="411"/>
      <c r="R714" s="557"/>
      <c r="S714" s="557"/>
      <c r="T714" s="411"/>
      <c r="U714" s="411"/>
      <c r="V714" s="559"/>
    </row>
    <row r="715" spans="1:22" s="104" customFormat="1" ht="15" customHeight="1" outlineLevel="1">
      <c r="A715" s="104" t="str">
        <f t="shared" si="135"/>
        <v>1</v>
      </c>
      <c r="F715" s="104">
        <f>first_year+16</f>
        <v>2036</v>
      </c>
      <c r="G715" s="104" t="b">
        <f t="shared" si="138"/>
        <v>0</v>
      </c>
      <c r="L715" s="295" t="str">
        <f t="shared" si="137"/>
        <v>2036 год</v>
      </c>
      <c r="M715" s="296"/>
      <c r="N715" s="411"/>
      <c r="O715" s="296"/>
      <c r="P715" s="557"/>
      <c r="Q715" s="411"/>
      <c r="R715" s="557"/>
      <c r="S715" s="557"/>
      <c r="T715" s="411"/>
      <c r="U715" s="411"/>
      <c r="V715" s="559"/>
    </row>
    <row r="716" spans="1:22" s="104" customFormat="1" ht="15" customHeight="1" outlineLevel="1">
      <c r="A716" s="104" t="str">
        <f t="shared" si="135"/>
        <v>1</v>
      </c>
      <c r="F716" s="104">
        <f>first_year+17</f>
        <v>2037</v>
      </c>
      <c r="G716" s="104" t="b">
        <f t="shared" si="138"/>
        <v>0</v>
      </c>
      <c r="L716" s="295" t="str">
        <f t="shared" si="137"/>
        <v>2037 год</v>
      </c>
      <c r="M716" s="296"/>
      <c r="N716" s="411"/>
      <c r="O716" s="296"/>
      <c r="P716" s="557"/>
      <c r="Q716" s="411"/>
      <c r="R716" s="557"/>
      <c r="S716" s="557"/>
      <c r="T716" s="411"/>
      <c r="U716" s="411"/>
      <c r="V716" s="559"/>
    </row>
    <row r="717" spans="1:22" s="104" customFormat="1" ht="15" customHeight="1" outlineLevel="1">
      <c r="A717" s="104" t="str">
        <f t="shared" si="135"/>
        <v>1</v>
      </c>
      <c r="F717" s="104">
        <f>first_year+18</f>
        <v>2038</v>
      </c>
      <c r="G717" s="104" t="b">
        <f t="shared" si="138"/>
        <v>0</v>
      </c>
      <c r="L717" s="295" t="str">
        <f t="shared" si="137"/>
        <v>2038 год</v>
      </c>
      <c r="M717" s="296"/>
      <c r="N717" s="411"/>
      <c r="O717" s="296"/>
      <c r="P717" s="557"/>
      <c r="Q717" s="411"/>
      <c r="R717" s="557"/>
      <c r="S717" s="557"/>
      <c r="T717" s="411"/>
      <c r="U717" s="411"/>
      <c r="V717" s="559"/>
    </row>
    <row r="718" spans="1:22" s="104" customFormat="1" ht="15" customHeight="1" outlineLevel="1">
      <c r="A718" s="104" t="str">
        <f t="shared" si="135"/>
        <v>1</v>
      </c>
      <c r="F718" s="104">
        <f>first_year+19</f>
        <v>2039</v>
      </c>
      <c r="G718" s="104" t="b">
        <f t="shared" si="138"/>
        <v>0</v>
      </c>
      <c r="L718" s="295" t="str">
        <f t="shared" si="137"/>
        <v>2039 год</v>
      </c>
      <c r="M718" s="296"/>
      <c r="N718" s="411"/>
      <c r="O718" s="296"/>
      <c r="P718" s="557"/>
      <c r="Q718" s="411"/>
      <c r="R718" s="557"/>
      <c r="S718" s="557"/>
      <c r="T718" s="411"/>
      <c r="U718" s="411"/>
      <c r="V718" s="559"/>
    </row>
    <row r="719" spans="1:22" s="104" customFormat="1" ht="15" customHeight="1" outlineLevel="1">
      <c r="A719" s="104" t="str">
        <f t="shared" si="135"/>
        <v>1</v>
      </c>
      <c r="F719" s="104">
        <f>first_year+20</f>
        <v>2040</v>
      </c>
      <c r="G719" s="104" t="b">
        <f t="shared" si="138"/>
        <v>0</v>
      </c>
      <c r="L719" s="295" t="str">
        <f t="shared" si="137"/>
        <v>2040 год</v>
      </c>
      <c r="M719" s="296"/>
      <c r="N719" s="411"/>
      <c r="O719" s="296"/>
      <c r="P719" s="557"/>
      <c r="Q719" s="411"/>
      <c r="R719" s="557"/>
      <c r="S719" s="557"/>
      <c r="T719" s="411"/>
      <c r="U719" s="411"/>
      <c r="V719" s="559"/>
    </row>
    <row r="720" spans="1:22" s="104" customFormat="1" ht="15" customHeight="1" outlineLevel="1">
      <c r="A720" s="104" t="str">
        <f t="shared" si="135"/>
        <v>1</v>
      </c>
      <c r="F720" s="104">
        <f>first_year+21</f>
        <v>2041</v>
      </c>
      <c r="G720" s="104" t="b">
        <f t="shared" si="138"/>
        <v>0</v>
      </c>
      <c r="L720" s="295" t="str">
        <f t="shared" si="137"/>
        <v>2041 год</v>
      </c>
      <c r="M720" s="296"/>
      <c r="N720" s="411"/>
      <c r="O720" s="296"/>
      <c r="P720" s="557"/>
      <c r="Q720" s="411"/>
      <c r="R720" s="557"/>
      <c r="S720" s="557"/>
      <c r="T720" s="411"/>
      <c r="U720" s="411"/>
      <c r="V720" s="559"/>
    </row>
    <row r="721" spans="1:22" s="104" customFormat="1" ht="15" customHeight="1" outlineLevel="1">
      <c r="A721" s="104" t="str">
        <f t="shared" si="135"/>
        <v>1</v>
      </c>
      <c r="F721" s="104">
        <f>first_year+22</f>
        <v>2042</v>
      </c>
      <c r="G721" s="104" t="b">
        <f t="shared" si="138"/>
        <v>0</v>
      </c>
      <c r="L721" s="295" t="str">
        <f t="shared" si="137"/>
        <v>2042 год</v>
      </c>
      <c r="M721" s="296"/>
      <c r="N721" s="411"/>
      <c r="O721" s="296"/>
      <c r="P721" s="557"/>
      <c r="Q721" s="411"/>
      <c r="R721" s="557"/>
      <c r="S721" s="557"/>
      <c r="T721" s="411"/>
      <c r="U721" s="411"/>
      <c r="V721" s="559"/>
    </row>
    <row r="722" spans="1:22" s="104" customFormat="1" ht="15" customHeight="1" outlineLevel="1">
      <c r="A722" s="104" t="str">
        <f t="shared" si="135"/>
        <v>1</v>
      </c>
      <c r="F722" s="104">
        <f>first_year+23</f>
        <v>2043</v>
      </c>
      <c r="G722" s="104" t="b">
        <f t="shared" si="138"/>
        <v>0</v>
      </c>
      <c r="L722" s="295" t="str">
        <f t="shared" si="137"/>
        <v>2043 год</v>
      </c>
      <c r="M722" s="296"/>
      <c r="N722" s="411"/>
      <c r="O722" s="296"/>
      <c r="P722" s="557"/>
      <c r="Q722" s="411"/>
      <c r="R722" s="557"/>
      <c r="S722" s="557"/>
      <c r="T722" s="411"/>
      <c r="U722" s="411"/>
      <c r="V722" s="559"/>
    </row>
    <row r="723" spans="1:22" s="104" customFormat="1" ht="15" customHeight="1" outlineLevel="1">
      <c r="A723" s="104" t="str">
        <f t="shared" si="135"/>
        <v>1</v>
      </c>
      <c r="F723" s="104">
        <f>first_year+24</f>
        <v>2044</v>
      </c>
      <c r="G723" s="104" t="b">
        <f t="shared" si="138"/>
        <v>0</v>
      </c>
      <c r="L723" s="295" t="str">
        <f t="shared" si="137"/>
        <v>2044 год</v>
      </c>
      <c r="M723" s="296"/>
      <c r="N723" s="411"/>
      <c r="O723" s="296"/>
      <c r="P723" s="557"/>
      <c r="Q723" s="411"/>
      <c r="R723" s="557"/>
      <c r="S723" s="557"/>
      <c r="T723" s="411"/>
      <c r="U723" s="411"/>
      <c r="V723" s="559"/>
    </row>
    <row r="724" spans="1:22" s="104" customFormat="1" ht="15" customHeight="1" outlineLevel="1">
      <c r="A724" s="104" t="str">
        <f t="shared" si="135"/>
        <v>1</v>
      </c>
      <c r="F724" s="104">
        <f>first_year+25</f>
        <v>2045</v>
      </c>
      <c r="G724" s="104" t="b">
        <f t="shared" si="138"/>
        <v>0</v>
      </c>
      <c r="L724" s="295" t="str">
        <f t="shared" si="137"/>
        <v>2045 год</v>
      </c>
      <c r="M724" s="296"/>
      <c r="N724" s="411"/>
      <c r="O724" s="296"/>
      <c r="P724" s="557"/>
      <c r="Q724" s="411"/>
      <c r="R724" s="557"/>
      <c r="S724" s="557"/>
      <c r="T724" s="411"/>
      <c r="U724" s="411"/>
      <c r="V724" s="559"/>
    </row>
    <row r="725" spans="1:22" s="104" customFormat="1" ht="15" customHeight="1" outlineLevel="1">
      <c r="A725" s="104" t="str">
        <f t="shared" si="135"/>
        <v>1</v>
      </c>
      <c r="F725" s="104">
        <f>first_year+26</f>
        <v>2046</v>
      </c>
      <c r="G725" s="104" t="b">
        <f t="shared" si="138"/>
        <v>0</v>
      </c>
      <c r="L725" s="295" t="str">
        <f t="shared" si="137"/>
        <v>2046 год</v>
      </c>
      <c r="M725" s="296"/>
      <c r="N725" s="411"/>
      <c r="O725" s="296"/>
      <c r="P725" s="557"/>
      <c r="Q725" s="411"/>
      <c r="R725" s="557"/>
      <c r="S725" s="557"/>
      <c r="T725" s="411"/>
      <c r="U725" s="411"/>
      <c r="V725" s="559"/>
    </row>
    <row r="726" spans="1:22" s="104" customFormat="1" ht="15" customHeight="1" outlineLevel="1">
      <c r="A726" s="104" t="str">
        <f t="shared" si="135"/>
        <v>1</v>
      </c>
      <c r="F726" s="104">
        <f>first_year+27</f>
        <v>2047</v>
      </c>
      <c r="G726" s="104" t="b">
        <f t="shared" si="138"/>
        <v>0</v>
      </c>
      <c r="L726" s="295" t="str">
        <f t="shared" si="137"/>
        <v>2047 год</v>
      </c>
      <c r="M726" s="296"/>
      <c r="N726" s="411"/>
      <c r="O726" s="296"/>
      <c r="P726" s="557"/>
      <c r="Q726" s="411"/>
      <c r="R726" s="557"/>
      <c r="S726" s="557"/>
      <c r="T726" s="411"/>
      <c r="U726" s="411"/>
      <c r="V726" s="559"/>
    </row>
    <row r="727" spans="1:22" s="104" customFormat="1" ht="15" customHeight="1" outlineLevel="1">
      <c r="A727" s="104" t="str">
        <f t="shared" si="135"/>
        <v>1</v>
      </c>
      <c r="F727" s="104">
        <f>first_year+28</f>
        <v>2048</v>
      </c>
      <c r="G727" s="104" t="b">
        <f t="shared" si="138"/>
        <v>0</v>
      </c>
      <c r="L727" s="295" t="str">
        <f t="shared" si="137"/>
        <v>2048 год</v>
      </c>
      <c r="M727" s="296"/>
      <c r="N727" s="411"/>
      <c r="O727" s="296"/>
      <c r="P727" s="557"/>
      <c r="Q727" s="411"/>
      <c r="R727" s="557"/>
      <c r="S727" s="557"/>
      <c r="T727" s="411"/>
      <c r="U727" s="411"/>
      <c r="V727" s="559"/>
    </row>
    <row r="728" spans="1:22" s="104" customFormat="1" ht="15" customHeight="1" outlineLevel="1">
      <c r="A728" s="104" t="str">
        <f t="shared" si="135"/>
        <v>1</v>
      </c>
      <c r="F728" s="104">
        <f>first_year+29</f>
        <v>2049</v>
      </c>
      <c r="G728" s="104" t="b">
        <f t="shared" si="138"/>
        <v>0</v>
      </c>
      <c r="L728" s="295" t="str">
        <f t="shared" si="137"/>
        <v>2049 год</v>
      </c>
      <c r="M728" s="296"/>
      <c r="N728" s="411"/>
      <c r="O728" s="296"/>
      <c r="P728" s="557"/>
      <c r="Q728" s="411"/>
      <c r="R728" s="557"/>
      <c r="S728" s="557"/>
      <c r="T728" s="411"/>
      <c r="U728" s="411"/>
      <c r="V728" s="559"/>
    </row>
    <row r="729" spans="1:22" s="104" customFormat="1" ht="15" customHeight="1" outlineLevel="1">
      <c r="A729" s="104" t="str">
        <f t="shared" si="135"/>
        <v>1</v>
      </c>
      <c r="F729" s="104">
        <f>first_year+30</f>
        <v>2050</v>
      </c>
      <c r="G729" s="104" t="b">
        <f t="shared" si="138"/>
        <v>0</v>
      </c>
      <c r="L729" s="295" t="str">
        <f t="shared" si="137"/>
        <v>2050 год</v>
      </c>
      <c r="M729" s="296"/>
      <c r="N729" s="411"/>
      <c r="O729" s="296"/>
      <c r="P729" s="557"/>
      <c r="Q729" s="411"/>
      <c r="R729" s="557"/>
      <c r="S729" s="557"/>
      <c r="T729" s="411"/>
      <c r="U729" s="411"/>
      <c r="V729" s="559"/>
    </row>
    <row r="730" spans="1:22" s="104" customFormat="1" ht="15" customHeight="1" outlineLevel="1">
      <c r="A730" s="104" t="str">
        <f t="shared" si="135"/>
        <v>1</v>
      </c>
      <c r="F730" s="104">
        <f>first_year+31</f>
        <v>2051</v>
      </c>
      <c r="G730" s="104" t="b">
        <f t="shared" si="138"/>
        <v>0</v>
      </c>
      <c r="L730" s="295" t="str">
        <f t="shared" si="137"/>
        <v>2051 год</v>
      </c>
      <c r="M730" s="296"/>
      <c r="N730" s="411"/>
      <c r="O730" s="296"/>
      <c r="P730" s="557"/>
      <c r="Q730" s="411"/>
      <c r="R730" s="557"/>
      <c r="S730" s="557"/>
      <c r="T730" s="411"/>
      <c r="U730" s="411"/>
      <c r="V730" s="559"/>
    </row>
    <row r="731" spans="1:22" s="104" customFormat="1" ht="15" customHeight="1" outlineLevel="1">
      <c r="A731" s="104" t="str">
        <f t="shared" si="135"/>
        <v>1</v>
      </c>
      <c r="F731" s="104">
        <f>first_year+32</f>
        <v>2052</v>
      </c>
      <c r="G731" s="104" t="b">
        <f t="shared" si="138"/>
        <v>0</v>
      </c>
      <c r="L731" s="295" t="str">
        <f t="shared" si="137"/>
        <v>2052 год</v>
      </c>
      <c r="M731" s="296"/>
      <c r="N731" s="411"/>
      <c r="O731" s="296"/>
      <c r="P731" s="557"/>
      <c r="Q731" s="411"/>
      <c r="R731" s="557"/>
      <c r="S731" s="557"/>
      <c r="T731" s="411"/>
      <c r="U731" s="411"/>
      <c r="V731" s="559"/>
    </row>
    <row r="732" spans="1:22" s="104" customFormat="1" ht="15" customHeight="1" outlineLevel="1">
      <c r="A732" s="104" t="str">
        <f t="shared" si="135"/>
        <v>1</v>
      </c>
      <c r="F732" s="104">
        <f>first_year+33</f>
        <v>2053</v>
      </c>
      <c r="G732" s="104" t="b">
        <f t="shared" si="138"/>
        <v>0</v>
      </c>
      <c r="L732" s="295" t="str">
        <f t="shared" si="137"/>
        <v>2053 год</v>
      </c>
      <c r="M732" s="296"/>
      <c r="N732" s="411"/>
      <c r="O732" s="296"/>
      <c r="P732" s="557"/>
      <c r="Q732" s="411"/>
      <c r="R732" s="557"/>
      <c r="S732" s="557"/>
      <c r="T732" s="411"/>
      <c r="U732" s="411"/>
      <c r="V732" s="559"/>
    </row>
    <row r="733" spans="1:22" s="104" customFormat="1" ht="15" customHeight="1" outlineLevel="1">
      <c r="A733" s="104" t="str">
        <f t="shared" si="135"/>
        <v>1</v>
      </c>
      <c r="F733" s="104">
        <f>first_year+34</f>
        <v>2054</v>
      </c>
      <c r="G733" s="104" t="b">
        <f t="shared" si="138"/>
        <v>0</v>
      </c>
      <c r="L733" s="295" t="str">
        <f t="shared" si="137"/>
        <v>2054 год</v>
      </c>
      <c r="M733" s="296"/>
      <c r="N733" s="411"/>
      <c r="O733" s="296"/>
      <c r="P733" s="557"/>
      <c r="Q733" s="411"/>
      <c r="R733" s="557"/>
      <c r="S733" s="557"/>
      <c r="T733" s="411"/>
      <c r="U733" s="411"/>
      <c r="V733" s="559"/>
    </row>
    <row r="734" spans="1:22" s="104" customFormat="1" ht="15" customHeight="1" outlineLevel="1">
      <c r="A734" s="104" t="str">
        <f t="shared" si="135"/>
        <v>1</v>
      </c>
      <c r="F734" s="104">
        <f>first_year+35</f>
        <v>2055</v>
      </c>
      <c r="G734" s="104" t="b">
        <f t="shared" si="138"/>
        <v>0</v>
      </c>
      <c r="L734" s="295" t="str">
        <f t="shared" si="137"/>
        <v>2055 год</v>
      </c>
      <c r="M734" s="296"/>
      <c r="N734" s="411"/>
      <c r="O734" s="296"/>
      <c r="P734" s="557"/>
      <c r="Q734" s="411"/>
      <c r="R734" s="557"/>
      <c r="S734" s="557"/>
      <c r="T734" s="411"/>
      <c r="U734" s="411"/>
      <c r="V734" s="559"/>
    </row>
    <row r="735" spans="1:22" s="104" customFormat="1" ht="15" customHeight="1" outlineLevel="1">
      <c r="A735" s="104" t="str">
        <f t="shared" si="135"/>
        <v>1</v>
      </c>
      <c r="F735" s="104">
        <f>first_year+36</f>
        <v>2056</v>
      </c>
      <c r="G735" s="104" t="b">
        <f t="shared" si="138"/>
        <v>0</v>
      </c>
      <c r="L735" s="295" t="str">
        <f t="shared" si="137"/>
        <v>2056 год</v>
      </c>
      <c r="M735" s="296"/>
      <c r="N735" s="411"/>
      <c r="O735" s="296"/>
      <c r="P735" s="557"/>
      <c r="Q735" s="411"/>
      <c r="R735" s="557"/>
      <c r="S735" s="557"/>
      <c r="T735" s="411"/>
      <c r="U735" s="411"/>
      <c r="V735" s="559"/>
    </row>
    <row r="736" spans="1:22" s="104" customFormat="1" ht="15" customHeight="1" outlineLevel="1">
      <c r="A736" s="104" t="str">
        <f t="shared" si="135"/>
        <v>1</v>
      </c>
      <c r="F736" s="104">
        <f>first_year+37</f>
        <v>2057</v>
      </c>
      <c r="G736" s="104" t="b">
        <f t="shared" si="138"/>
        <v>0</v>
      </c>
      <c r="L736" s="295" t="str">
        <f t="shared" si="137"/>
        <v>2057 год</v>
      </c>
      <c r="M736" s="296"/>
      <c r="N736" s="411"/>
      <c r="O736" s="296"/>
      <c r="P736" s="557"/>
      <c r="Q736" s="411"/>
      <c r="R736" s="557"/>
      <c r="S736" s="557"/>
      <c r="T736" s="411"/>
      <c r="U736" s="411"/>
      <c r="V736" s="559"/>
    </row>
    <row r="737" spans="1:27" s="104" customFormat="1" ht="15" customHeight="1" outlineLevel="1">
      <c r="A737" s="104" t="str">
        <f t="shared" si="135"/>
        <v>1</v>
      </c>
      <c r="F737" s="104">
        <f>first_year+38</f>
        <v>2058</v>
      </c>
      <c r="G737" s="104" t="b">
        <f t="shared" si="138"/>
        <v>0</v>
      </c>
      <c r="L737" s="295" t="str">
        <f t="shared" si="137"/>
        <v>2058 год</v>
      </c>
      <c r="M737" s="296"/>
      <c r="N737" s="411"/>
      <c r="O737" s="296"/>
      <c r="P737" s="557"/>
      <c r="Q737" s="411"/>
      <c r="R737" s="557"/>
      <c r="S737" s="557"/>
      <c r="T737" s="411"/>
      <c r="U737" s="411"/>
      <c r="V737" s="559"/>
    </row>
    <row r="738" spans="1:27" s="104" customFormat="1" ht="15" customHeight="1" outlineLevel="1">
      <c r="A738" s="104" t="str">
        <f t="shared" si="135"/>
        <v>1</v>
      </c>
      <c r="F738" s="104">
        <f>first_year+39</f>
        <v>2059</v>
      </c>
      <c r="G738" s="104" t="b">
        <f t="shared" si="138"/>
        <v>0</v>
      </c>
      <c r="L738" s="295" t="str">
        <f t="shared" si="137"/>
        <v>2059 год</v>
      </c>
      <c r="M738" s="296"/>
      <c r="N738" s="411"/>
      <c r="O738" s="296"/>
      <c r="P738" s="557"/>
      <c r="Q738" s="411"/>
      <c r="R738" s="557"/>
      <c r="S738" s="557"/>
      <c r="T738" s="411"/>
      <c r="U738" s="411"/>
      <c r="V738" s="559"/>
    </row>
    <row r="739" spans="1:27" s="104" customFormat="1" ht="15" customHeight="1" outlineLevel="1">
      <c r="A739" s="104" t="str">
        <f t="shared" si="135"/>
        <v>1</v>
      </c>
      <c r="F739" s="104">
        <f>first_year+40</f>
        <v>2060</v>
      </c>
      <c r="G739" s="104" t="b">
        <f t="shared" si="138"/>
        <v>0</v>
      </c>
      <c r="L739" s="295" t="str">
        <f t="shared" si="137"/>
        <v>2060 год</v>
      </c>
      <c r="M739" s="296"/>
      <c r="N739" s="411"/>
      <c r="O739" s="296"/>
      <c r="P739" s="557"/>
      <c r="Q739" s="411"/>
      <c r="R739" s="557"/>
      <c r="S739" s="557"/>
      <c r="T739" s="411"/>
      <c r="U739" s="411"/>
      <c r="V739" s="559"/>
    </row>
    <row r="740" spans="1:27" s="104" customFormat="1" ht="15" customHeight="1" outlineLevel="1">
      <c r="A740" s="104" t="str">
        <f t="shared" si="135"/>
        <v>1</v>
      </c>
      <c r="F740" s="104">
        <f>first_year+41</f>
        <v>2061</v>
      </c>
      <c r="G740" s="104" t="b">
        <f t="shared" si="138"/>
        <v>0</v>
      </c>
      <c r="L740" s="295" t="str">
        <f t="shared" si="137"/>
        <v>2061 год</v>
      </c>
      <c r="M740" s="296"/>
      <c r="N740" s="411"/>
      <c r="O740" s="296"/>
      <c r="P740" s="557"/>
      <c r="Q740" s="411"/>
      <c r="R740" s="557"/>
      <c r="S740" s="557"/>
      <c r="T740" s="411"/>
      <c r="U740" s="411"/>
      <c r="V740" s="559"/>
    </row>
    <row r="741" spans="1:27" s="104" customFormat="1" ht="15" customHeight="1" outlineLevel="1">
      <c r="A741" s="104" t="str">
        <f t="shared" si="135"/>
        <v>1</v>
      </c>
      <c r="F741" s="104">
        <f>first_year+42</f>
        <v>2062</v>
      </c>
      <c r="G741" s="104" t="b">
        <f t="shared" si="138"/>
        <v>0</v>
      </c>
      <c r="L741" s="295" t="str">
        <f t="shared" si="137"/>
        <v>2062 год</v>
      </c>
      <c r="M741" s="296"/>
      <c r="N741" s="411"/>
      <c r="O741" s="296"/>
      <c r="P741" s="557"/>
      <c r="Q741" s="411"/>
      <c r="R741" s="557"/>
      <c r="S741" s="557"/>
      <c r="T741" s="411"/>
      <c r="U741" s="411"/>
      <c r="V741" s="559"/>
    </row>
    <row r="742" spans="1:27" s="104" customFormat="1" ht="15" customHeight="1" outlineLevel="1">
      <c r="A742" s="104" t="str">
        <f t="shared" si="135"/>
        <v>1</v>
      </c>
      <c r="F742" s="104">
        <f>first_year+43</f>
        <v>2063</v>
      </c>
      <c r="G742" s="104" t="b">
        <f t="shared" si="138"/>
        <v>0</v>
      </c>
      <c r="L742" s="295" t="str">
        <f t="shared" si="137"/>
        <v>2063 год</v>
      </c>
      <c r="M742" s="296"/>
      <c r="N742" s="411"/>
      <c r="O742" s="296"/>
      <c r="P742" s="557"/>
      <c r="Q742" s="411"/>
      <c r="R742" s="557"/>
      <c r="S742" s="557"/>
      <c r="T742" s="411"/>
      <c r="U742" s="411"/>
      <c r="V742" s="559"/>
    </row>
    <row r="743" spans="1:27" s="104" customFormat="1" ht="15" customHeight="1" outlineLevel="1">
      <c r="A743" s="104" t="str">
        <f t="shared" si="135"/>
        <v>1</v>
      </c>
      <c r="F743" s="104">
        <f>first_year+44</f>
        <v>2064</v>
      </c>
      <c r="G743" s="104" t="b">
        <f t="shared" si="138"/>
        <v>0</v>
      </c>
      <c r="L743" s="295" t="str">
        <f t="shared" si="137"/>
        <v>2064 год</v>
      </c>
      <c r="M743" s="296"/>
      <c r="N743" s="411"/>
      <c r="O743" s="296"/>
      <c r="P743" s="557"/>
      <c r="Q743" s="411"/>
      <c r="R743" s="557"/>
      <c r="S743" s="557"/>
      <c r="T743" s="411"/>
      <c r="U743" s="411"/>
      <c r="V743" s="559"/>
    </row>
    <row r="744" spans="1:27" s="104" customFormat="1" ht="15" customHeight="1" outlineLevel="1">
      <c r="A744" s="104" t="str">
        <f t="shared" si="135"/>
        <v>1</v>
      </c>
      <c r="F744" s="104">
        <f>first_year+45</f>
        <v>2065</v>
      </c>
      <c r="G744" s="104" t="b">
        <f t="shared" si="138"/>
        <v>0</v>
      </c>
      <c r="L744" s="295" t="str">
        <f t="shared" si="137"/>
        <v>2065 год</v>
      </c>
      <c r="M744" s="296"/>
      <c r="N744" s="411"/>
      <c r="O744" s="296"/>
      <c r="P744" s="557"/>
      <c r="Q744" s="411"/>
      <c r="R744" s="557"/>
      <c r="S744" s="557"/>
      <c r="T744" s="411"/>
      <c r="U744" s="411"/>
      <c r="V744" s="559"/>
    </row>
    <row r="745" spans="1:27" s="104" customFormat="1" ht="15" customHeight="1" outlineLevel="1">
      <c r="A745" s="104" t="str">
        <f t="shared" si="135"/>
        <v>1</v>
      </c>
      <c r="F745" s="104">
        <f>first_year+46</f>
        <v>2066</v>
      </c>
      <c r="G745" s="104" t="b">
        <f t="shared" si="138"/>
        <v>0</v>
      </c>
      <c r="L745" s="295" t="str">
        <f t="shared" si="137"/>
        <v>2066 год</v>
      </c>
      <c r="M745" s="296"/>
      <c r="N745" s="411"/>
      <c r="O745" s="296"/>
      <c r="P745" s="557"/>
      <c r="Q745" s="411"/>
      <c r="R745" s="557"/>
      <c r="S745" s="557"/>
      <c r="T745" s="411"/>
      <c r="U745" s="411"/>
      <c r="V745" s="559"/>
    </row>
    <row r="746" spans="1:27" s="104" customFormat="1" ht="15" customHeight="1" outlineLevel="1">
      <c r="A746" s="104" t="str">
        <f t="shared" si="135"/>
        <v>1</v>
      </c>
      <c r="F746" s="104">
        <f>first_year+47</f>
        <v>2067</v>
      </c>
      <c r="G746" s="104" t="b">
        <f t="shared" si="138"/>
        <v>0</v>
      </c>
      <c r="L746" s="295" t="str">
        <f t="shared" si="137"/>
        <v>2067 год</v>
      </c>
      <c r="M746" s="296"/>
      <c r="N746" s="411"/>
      <c r="O746" s="296"/>
      <c r="P746" s="557"/>
      <c r="Q746" s="411"/>
      <c r="R746" s="557"/>
      <c r="S746" s="557"/>
      <c r="T746" s="411"/>
      <c r="U746" s="411"/>
      <c r="V746" s="559"/>
    </row>
    <row r="747" spans="1:27" s="104" customFormat="1" ht="15" customHeight="1" outlineLevel="1">
      <c r="A747" s="104" t="str">
        <f t="shared" si="135"/>
        <v>1</v>
      </c>
      <c r="F747" s="104">
        <f>first_year+48</f>
        <v>2068</v>
      </c>
      <c r="G747" s="104" t="b">
        <f t="shared" si="138"/>
        <v>0</v>
      </c>
      <c r="L747" s="295" t="str">
        <f t="shared" si="137"/>
        <v>2068 год</v>
      </c>
      <c r="M747" s="296"/>
      <c r="N747" s="411"/>
      <c r="O747" s="296"/>
      <c r="P747" s="557"/>
      <c r="Q747" s="411"/>
      <c r="R747" s="557"/>
      <c r="S747" s="557"/>
      <c r="T747" s="411"/>
      <c r="U747" s="411"/>
      <c r="V747" s="559"/>
    </row>
    <row r="748" spans="1:27" s="104" customFormat="1" ht="15" customHeight="1" outlineLevel="1">
      <c r="A748" s="104" t="str">
        <f t="shared" si="135"/>
        <v>1</v>
      </c>
      <c r="F748" s="104">
        <f>first_year+49</f>
        <v>2069</v>
      </c>
      <c r="G748" s="104" t="b">
        <f>F748&lt;first_year+PERIOD_LENGTH</f>
        <v>0</v>
      </c>
      <c r="L748" s="295" t="str">
        <f>F748&amp; " год"</f>
        <v>2069 год</v>
      </c>
      <c r="M748" s="296"/>
      <c r="N748" s="411"/>
      <c r="O748" s="296"/>
      <c r="P748" s="557"/>
      <c r="Q748" s="411"/>
      <c r="R748" s="557"/>
      <c r="S748" s="557"/>
      <c r="T748" s="411"/>
      <c r="U748" s="411"/>
      <c r="V748" s="559"/>
    </row>
    <row r="750" spans="1:27" s="131" customFormat="1" ht="30" customHeight="1">
      <c r="A750" s="130" t="s">
        <v>1190</v>
      </c>
      <c r="M750" s="132"/>
      <c r="N750" s="132"/>
      <c r="O750" s="132"/>
      <c r="P750" s="132"/>
      <c r="AA750" s="133"/>
    </row>
    <row r="751" spans="1:27">
      <c r="A751" s="134" t="s">
        <v>1191</v>
      </c>
    </row>
    <row r="752" spans="1:27" s="101" customFormat="1" ht="15" customHeight="1">
      <c r="A752" s="86" t="s">
        <v>18</v>
      </c>
      <c r="L752" s="264" t="str">
        <f>INDEX('Общие сведения'!$J$114:$J$140,MATCH($A752,'Общие сведения'!$D$114:$D$140,0))</f>
        <v>Тариф 1 (Водоотведение) - тариф на транспортировку сточных вод</v>
      </c>
      <c r="M752" s="265"/>
      <c r="N752" s="265"/>
      <c r="O752" s="265"/>
      <c r="P752" s="265"/>
      <c r="Q752" s="265"/>
      <c r="R752" s="265"/>
      <c r="S752" s="265"/>
      <c r="T752" s="265"/>
      <c r="U752" s="265"/>
      <c r="V752" s="556"/>
    </row>
    <row r="753" spans="1:27" s="104" customFormat="1" ht="15" customHeight="1" outlineLevel="1">
      <c r="A753" s="104" t="str">
        <f>A752</f>
        <v>1</v>
      </c>
      <c r="B753" s="104" t="str">
        <f>A753&amp;"pIns"</f>
        <v>1pIns</v>
      </c>
      <c r="L753" s="494" t="s">
        <v>353</v>
      </c>
      <c r="M753" s="560"/>
      <c r="N753" s="560"/>
      <c r="O753" s="560"/>
      <c r="P753" s="560"/>
      <c r="Q753" s="560"/>
      <c r="R753" s="560"/>
      <c r="S753" s="560"/>
      <c r="T753" s="560"/>
      <c r="U753" s="560"/>
      <c r="V753" s="559"/>
    </row>
    <row r="754" spans="1:27" s="484" customFormat="1">
      <c r="A754" s="483" t="s">
        <v>1192</v>
      </c>
      <c r="M754" s="485"/>
      <c r="N754" s="485"/>
      <c r="O754" s="485"/>
      <c r="P754" s="485"/>
      <c r="AA754" s="486"/>
    </row>
    <row r="755" spans="1:27" s="101" customFormat="1" ht="15" customHeight="1" outlineLevel="1">
      <c r="A755" s="561" t="str">
        <f ca="1">OFFSET(B755,-1,-1)</f>
        <v>et_List18_block</v>
      </c>
      <c r="B755" s="562">
        <f>L755</f>
        <v>0</v>
      </c>
      <c r="K755" s="1160" t="s">
        <v>265</v>
      </c>
      <c r="L755" s="1150"/>
      <c r="M755" s="1150"/>
      <c r="N755" s="1150"/>
      <c r="O755" s="1150"/>
      <c r="P755" s="1150"/>
      <c r="Q755" s="1150"/>
      <c r="R755" s="1150"/>
      <c r="S755" s="1150"/>
      <c r="T755" s="1150"/>
      <c r="U755" s="1151"/>
      <c r="V755" s="556"/>
    </row>
    <row r="756" spans="1:27" s="104" customFormat="1" ht="15" customHeight="1" outlineLevel="1">
      <c r="A756" s="561" t="str">
        <f t="shared" ref="A756:A805" ca="1" si="139">OFFSET(B756,-1,-1)</f>
        <v>et_List18_block</v>
      </c>
      <c r="B756" s="551">
        <f>B755</f>
        <v>0</v>
      </c>
      <c r="F756" s="104">
        <f>first_year</f>
        <v>2020</v>
      </c>
      <c r="G756" s="104" t="b">
        <f t="shared" ref="G756:G764" si="140">F756&lt;first_year+PERIOD_LENGTH</f>
        <v>1</v>
      </c>
      <c r="K756" s="1160"/>
      <c r="L756" s="511" t="str">
        <f>F756&amp; " год"</f>
        <v>2020 год</v>
      </c>
      <c r="M756" s="401"/>
      <c r="N756" s="412"/>
      <c r="O756" s="401"/>
      <c r="P756" s="401"/>
      <c r="Q756" s="412"/>
      <c r="R756" s="401"/>
      <c r="S756" s="412"/>
      <c r="T756" s="401"/>
      <c r="U756" s="563"/>
      <c r="V756" s="559"/>
    </row>
    <row r="757" spans="1:27" s="104" customFormat="1" ht="15" customHeight="1" outlineLevel="1">
      <c r="A757" s="561" t="str">
        <f t="shared" ca="1" si="139"/>
        <v>et_List18_block</v>
      </c>
      <c r="B757" s="551">
        <f t="shared" ref="B757:B805" si="141">B756</f>
        <v>0</v>
      </c>
      <c r="F757" s="104">
        <f>first_year+1</f>
        <v>2021</v>
      </c>
      <c r="G757" s="104" t="b">
        <f t="shared" si="140"/>
        <v>1</v>
      </c>
      <c r="K757" s="1160"/>
      <c r="L757" s="295" t="str">
        <f t="shared" ref="L757:L804" si="142">F757&amp; " год"</f>
        <v>2021 год</v>
      </c>
      <c r="M757" s="401"/>
      <c r="N757" s="412"/>
      <c r="O757" s="401"/>
      <c r="P757" s="401"/>
      <c r="Q757" s="412"/>
      <c r="R757" s="401"/>
      <c r="S757" s="412"/>
      <c r="T757" s="401"/>
      <c r="U757" s="563"/>
      <c r="V757" s="559"/>
    </row>
    <row r="758" spans="1:27" s="104" customFormat="1" ht="15" customHeight="1" outlineLevel="1">
      <c r="A758" s="561" t="str">
        <f t="shared" ca="1" si="139"/>
        <v>et_List18_block</v>
      </c>
      <c r="B758" s="551">
        <f t="shared" si="141"/>
        <v>0</v>
      </c>
      <c r="F758" s="104">
        <f>first_year+2</f>
        <v>2022</v>
      </c>
      <c r="G758" s="104" t="b">
        <f t="shared" si="140"/>
        <v>1</v>
      </c>
      <c r="K758" s="1160"/>
      <c r="L758" s="295" t="str">
        <f t="shared" si="142"/>
        <v>2022 год</v>
      </c>
      <c r="M758" s="401"/>
      <c r="N758" s="412"/>
      <c r="O758" s="401"/>
      <c r="P758" s="401"/>
      <c r="Q758" s="412"/>
      <c r="R758" s="401"/>
      <c r="S758" s="412"/>
      <c r="T758" s="401"/>
      <c r="U758" s="563"/>
      <c r="V758" s="559"/>
    </row>
    <row r="759" spans="1:27" s="104" customFormat="1" ht="15" customHeight="1" outlineLevel="1">
      <c r="A759" s="561" t="str">
        <f t="shared" ca="1" si="139"/>
        <v>et_List18_block</v>
      </c>
      <c r="B759" s="551">
        <f t="shared" si="141"/>
        <v>0</v>
      </c>
      <c r="F759" s="104">
        <f>first_year+3</f>
        <v>2023</v>
      </c>
      <c r="G759" s="104" t="b">
        <f t="shared" si="140"/>
        <v>1</v>
      </c>
      <c r="K759" s="1160"/>
      <c r="L759" s="295" t="str">
        <f t="shared" si="142"/>
        <v>2023 год</v>
      </c>
      <c r="M759" s="401"/>
      <c r="N759" s="412"/>
      <c r="O759" s="401"/>
      <c r="P759" s="401"/>
      <c r="Q759" s="412"/>
      <c r="R759" s="401"/>
      <c r="S759" s="412"/>
      <c r="T759" s="401"/>
      <c r="U759" s="563"/>
      <c r="V759" s="559"/>
    </row>
    <row r="760" spans="1:27" s="104" customFormat="1" ht="15" customHeight="1" outlineLevel="1">
      <c r="A760" s="561" t="str">
        <f t="shared" ca="1" si="139"/>
        <v>et_List18_block</v>
      </c>
      <c r="B760" s="551">
        <f t="shared" si="141"/>
        <v>0</v>
      </c>
      <c r="F760" s="104">
        <f>first_year+4</f>
        <v>2024</v>
      </c>
      <c r="G760" s="104" t="b">
        <f t="shared" si="140"/>
        <v>1</v>
      </c>
      <c r="K760" s="1160"/>
      <c r="L760" s="295" t="str">
        <f t="shared" si="142"/>
        <v>2024 год</v>
      </c>
      <c r="M760" s="401"/>
      <c r="N760" s="412"/>
      <c r="O760" s="401"/>
      <c r="P760" s="401"/>
      <c r="Q760" s="412"/>
      <c r="R760" s="401"/>
      <c r="S760" s="412"/>
      <c r="T760" s="401"/>
      <c r="U760" s="563"/>
      <c r="V760" s="559"/>
    </row>
    <row r="761" spans="1:27" s="104" customFormat="1" ht="15" customHeight="1" outlineLevel="1">
      <c r="A761" s="561" t="str">
        <f t="shared" ca="1" si="139"/>
        <v>et_List18_block</v>
      </c>
      <c r="B761" s="551">
        <f t="shared" si="141"/>
        <v>0</v>
      </c>
      <c r="F761" s="104">
        <f>first_year+5</f>
        <v>2025</v>
      </c>
      <c r="G761" s="104" t="b">
        <f t="shared" si="140"/>
        <v>0</v>
      </c>
      <c r="K761" s="1160"/>
      <c r="L761" s="295" t="str">
        <f t="shared" si="142"/>
        <v>2025 год</v>
      </c>
      <c r="M761" s="401"/>
      <c r="N761" s="412"/>
      <c r="O761" s="401"/>
      <c r="P761" s="401"/>
      <c r="Q761" s="412"/>
      <c r="R761" s="401"/>
      <c r="S761" s="412"/>
      <c r="T761" s="401"/>
      <c r="U761" s="563"/>
      <c r="V761" s="559"/>
    </row>
    <row r="762" spans="1:27" s="104" customFormat="1" ht="15" customHeight="1" outlineLevel="1">
      <c r="A762" s="561" t="str">
        <f t="shared" ca="1" si="139"/>
        <v>et_List18_block</v>
      </c>
      <c r="B762" s="551">
        <f t="shared" si="141"/>
        <v>0</v>
      </c>
      <c r="F762" s="104">
        <f>first_year+6</f>
        <v>2026</v>
      </c>
      <c r="G762" s="104" t="b">
        <f t="shared" si="140"/>
        <v>0</v>
      </c>
      <c r="K762" s="1160"/>
      <c r="L762" s="295" t="str">
        <f t="shared" si="142"/>
        <v>2026 год</v>
      </c>
      <c r="M762" s="401"/>
      <c r="N762" s="412"/>
      <c r="O762" s="401"/>
      <c r="P762" s="401"/>
      <c r="Q762" s="412"/>
      <c r="R762" s="401"/>
      <c r="S762" s="412"/>
      <c r="T762" s="401"/>
      <c r="U762" s="563"/>
      <c r="V762" s="559"/>
    </row>
    <row r="763" spans="1:27" s="104" customFormat="1" ht="15" customHeight="1" outlineLevel="1">
      <c r="A763" s="561" t="str">
        <f t="shared" ca="1" si="139"/>
        <v>et_List18_block</v>
      </c>
      <c r="B763" s="551">
        <f t="shared" si="141"/>
        <v>0</v>
      </c>
      <c r="F763" s="104">
        <f>first_year+7</f>
        <v>2027</v>
      </c>
      <c r="G763" s="104" t="b">
        <f t="shared" si="140"/>
        <v>0</v>
      </c>
      <c r="K763" s="1160"/>
      <c r="L763" s="295" t="str">
        <f t="shared" si="142"/>
        <v>2027 год</v>
      </c>
      <c r="M763" s="401"/>
      <c r="N763" s="412"/>
      <c r="O763" s="401"/>
      <c r="P763" s="401"/>
      <c r="Q763" s="412"/>
      <c r="R763" s="401"/>
      <c r="S763" s="412"/>
      <c r="T763" s="401"/>
      <c r="U763" s="563"/>
      <c r="V763" s="559"/>
    </row>
    <row r="764" spans="1:27" s="104" customFormat="1" ht="15" customHeight="1" outlineLevel="1">
      <c r="A764" s="561" t="str">
        <f t="shared" ca="1" si="139"/>
        <v>et_List18_block</v>
      </c>
      <c r="B764" s="551">
        <f t="shared" si="141"/>
        <v>0</v>
      </c>
      <c r="F764" s="104">
        <f>first_year+8</f>
        <v>2028</v>
      </c>
      <c r="G764" s="104" t="b">
        <f t="shared" si="140"/>
        <v>0</v>
      </c>
      <c r="K764" s="1160"/>
      <c r="L764" s="295" t="str">
        <f t="shared" si="142"/>
        <v>2028 год</v>
      </c>
      <c r="M764" s="401"/>
      <c r="N764" s="412"/>
      <c r="O764" s="401"/>
      <c r="P764" s="401"/>
      <c r="Q764" s="412"/>
      <c r="R764" s="401"/>
      <c r="S764" s="412"/>
      <c r="T764" s="401"/>
      <c r="U764" s="563"/>
      <c r="V764" s="559"/>
    </row>
    <row r="765" spans="1:27" s="104" customFormat="1" ht="15" customHeight="1" outlineLevel="1">
      <c r="A765" s="561" t="str">
        <f t="shared" ca="1" si="139"/>
        <v>et_List18_block</v>
      </c>
      <c r="B765" s="551">
        <f t="shared" si="141"/>
        <v>0</v>
      </c>
      <c r="F765" s="104">
        <f>first_year+9</f>
        <v>2029</v>
      </c>
      <c r="G765" s="104" t="b">
        <f t="shared" ref="G765:G805" si="143">F765&lt;first_year+PERIOD_LENGTH</f>
        <v>0</v>
      </c>
      <c r="K765" s="1160"/>
      <c r="L765" s="295" t="str">
        <f t="shared" si="142"/>
        <v>2029 год</v>
      </c>
      <c r="M765" s="401"/>
      <c r="N765" s="412"/>
      <c r="O765" s="401"/>
      <c r="P765" s="401"/>
      <c r="Q765" s="412"/>
      <c r="R765" s="401"/>
      <c r="S765" s="412"/>
      <c r="T765" s="401"/>
      <c r="U765" s="563"/>
      <c r="V765" s="559"/>
    </row>
    <row r="766" spans="1:27" s="104" customFormat="1" ht="15" customHeight="1" outlineLevel="1">
      <c r="A766" s="561" t="str">
        <f t="shared" ca="1" si="139"/>
        <v>et_List18_block</v>
      </c>
      <c r="B766" s="551">
        <f t="shared" si="141"/>
        <v>0</v>
      </c>
      <c r="F766" s="104">
        <f>first_year+10</f>
        <v>2030</v>
      </c>
      <c r="G766" s="104" t="b">
        <f t="shared" si="143"/>
        <v>0</v>
      </c>
      <c r="K766" s="1160"/>
      <c r="L766" s="295" t="str">
        <f t="shared" si="142"/>
        <v>2030 год</v>
      </c>
      <c r="M766" s="401"/>
      <c r="N766" s="412"/>
      <c r="O766" s="401"/>
      <c r="P766" s="401"/>
      <c r="Q766" s="412"/>
      <c r="R766" s="401"/>
      <c r="S766" s="412"/>
      <c r="T766" s="401"/>
      <c r="U766" s="563"/>
      <c r="V766" s="559"/>
    </row>
    <row r="767" spans="1:27" s="104" customFormat="1" ht="15" customHeight="1" outlineLevel="1">
      <c r="A767" s="561" t="str">
        <f t="shared" ca="1" si="139"/>
        <v>et_List18_block</v>
      </c>
      <c r="B767" s="551">
        <f t="shared" si="141"/>
        <v>0</v>
      </c>
      <c r="F767" s="104">
        <f>first_year+11</f>
        <v>2031</v>
      </c>
      <c r="G767" s="104" t="b">
        <f t="shared" si="143"/>
        <v>0</v>
      </c>
      <c r="K767" s="1160"/>
      <c r="L767" s="295" t="str">
        <f t="shared" si="142"/>
        <v>2031 год</v>
      </c>
      <c r="M767" s="401"/>
      <c r="N767" s="412"/>
      <c r="O767" s="401"/>
      <c r="P767" s="401"/>
      <c r="Q767" s="412"/>
      <c r="R767" s="401"/>
      <c r="S767" s="412"/>
      <c r="T767" s="401"/>
      <c r="U767" s="563"/>
      <c r="V767" s="559"/>
    </row>
    <row r="768" spans="1:27" s="104" customFormat="1" ht="15" customHeight="1" outlineLevel="1">
      <c r="A768" s="561" t="str">
        <f t="shared" ca="1" si="139"/>
        <v>et_List18_block</v>
      </c>
      <c r="B768" s="551">
        <f t="shared" si="141"/>
        <v>0</v>
      </c>
      <c r="F768" s="104">
        <f>first_year+12</f>
        <v>2032</v>
      </c>
      <c r="G768" s="104" t="b">
        <f t="shared" si="143"/>
        <v>0</v>
      </c>
      <c r="K768" s="1160"/>
      <c r="L768" s="295" t="str">
        <f t="shared" si="142"/>
        <v>2032 год</v>
      </c>
      <c r="M768" s="401"/>
      <c r="N768" s="412"/>
      <c r="O768" s="401"/>
      <c r="P768" s="401"/>
      <c r="Q768" s="412"/>
      <c r="R768" s="401"/>
      <c r="S768" s="412"/>
      <c r="T768" s="401"/>
      <c r="U768" s="563"/>
      <c r="V768" s="559"/>
    </row>
    <row r="769" spans="1:22" s="104" customFormat="1" ht="15" customHeight="1" outlineLevel="1">
      <c r="A769" s="561" t="str">
        <f t="shared" ca="1" si="139"/>
        <v>et_List18_block</v>
      </c>
      <c r="B769" s="551">
        <f t="shared" si="141"/>
        <v>0</v>
      </c>
      <c r="F769" s="104">
        <f>first_year+13</f>
        <v>2033</v>
      </c>
      <c r="G769" s="104" t="b">
        <f t="shared" si="143"/>
        <v>0</v>
      </c>
      <c r="K769" s="1160"/>
      <c r="L769" s="295" t="str">
        <f t="shared" si="142"/>
        <v>2033 год</v>
      </c>
      <c r="M769" s="401"/>
      <c r="N769" s="412"/>
      <c r="O769" s="401"/>
      <c r="P769" s="401"/>
      <c r="Q769" s="412"/>
      <c r="R769" s="401"/>
      <c r="S769" s="412"/>
      <c r="T769" s="401"/>
      <c r="U769" s="563"/>
      <c r="V769" s="559"/>
    </row>
    <row r="770" spans="1:22" s="104" customFormat="1" ht="15" customHeight="1" outlineLevel="1">
      <c r="A770" s="561" t="str">
        <f t="shared" ca="1" si="139"/>
        <v>et_List18_block</v>
      </c>
      <c r="B770" s="551">
        <f t="shared" si="141"/>
        <v>0</v>
      </c>
      <c r="F770" s="104">
        <f>first_year+14</f>
        <v>2034</v>
      </c>
      <c r="G770" s="104" t="b">
        <f t="shared" si="143"/>
        <v>0</v>
      </c>
      <c r="K770" s="1160"/>
      <c r="L770" s="295" t="str">
        <f t="shared" si="142"/>
        <v>2034 год</v>
      </c>
      <c r="M770" s="401"/>
      <c r="N770" s="412"/>
      <c r="O770" s="401"/>
      <c r="P770" s="401"/>
      <c r="Q770" s="412"/>
      <c r="R770" s="401"/>
      <c r="S770" s="412"/>
      <c r="T770" s="401"/>
      <c r="U770" s="563"/>
      <c r="V770" s="559"/>
    </row>
    <row r="771" spans="1:22" s="104" customFormat="1" ht="15" customHeight="1" outlineLevel="1">
      <c r="A771" s="561" t="str">
        <f t="shared" ca="1" si="139"/>
        <v>et_List18_block</v>
      </c>
      <c r="B771" s="551">
        <f t="shared" si="141"/>
        <v>0</v>
      </c>
      <c r="F771" s="104">
        <f>first_year+15</f>
        <v>2035</v>
      </c>
      <c r="G771" s="104" t="b">
        <f t="shared" si="143"/>
        <v>0</v>
      </c>
      <c r="K771" s="1160"/>
      <c r="L771" s="295" t="str">
        <f t="shared" si="142"/>
        <v>2035 год</v>
      </c>
      <c r="M771" s="401"/>
      <c r="N771" s="412"/>
      <c r="O771" s="401"/>
      <c r="P771" s="401"/>
      <c r="Q771" s="412"/>
      <c r="R771" s="401"/>
      <c r="S771" s="412"/>
      <c r="T771" s="401"/>
      <c r="U771" s="563"/>
      <c r="V771" s="559"/>
    </row>
    <row r="772" spans="1:22" s="104" customFormat="1" ht="15" customHeight="1" outlineLevel="1">
      <c r="A772" s="561" t="str">
        <f t="shared" ca="1" si="139"/>
        <v>et_List18_block</v>
      </c>
      <c r="B772" s="551">
        <f t="shared" si="141"/>
        <v>0</v>
      </c>
      <c r="F772" s="104">
        <f>first_year+16</f>
        <v>2036</v>
      </c>
      <c r="G772" s="104" t="b">
        <f t="shared" si="143"/>
        <v>0</v>
      </c>
      <c r="K772" s="1160"/>
      <c r="L772" s="295" t="str">
        <f t="shared" si="142"/>
        <v>2036 год</v>
      </c>
      <c r="M772" s="401"/>
      <c r="N772" s="412"/>
      <c r="O772" s="401"/>
      <c r="P772" s="401"/>
      <c r="Q772" s="412"/>
      <c r="R772" s="401"/>
      <c r="S772" s="412"/>
      <c r="T772" s="401"/>
      <c r="U772" s="563"/>
      <c r="V772" s="559"/>
    </row>
    <row r="773" spans="1:22" s="104" customFormat="1" ht="15" customHeight="1" outlineLevel="1">
      <c r="A773" s="561" t="str">
        <f t="shared" ca="1" si="139"/>
        <v>et_List18_block</v>
      </c>
      <c r="B773" s="551">
        <f t="shared" si="141"/>
        <v>0</v>
      </c>
      <c r="F773" s="104">
        <f>first_year+17</f>
        <v>2037</v>
      </c>
      <c r="G773" s="104" t="b">
        <f t="shared" si="143"/>
        <v>0</v>
      </c>
      <c r="K773" s="1160"/>
      <c r="L773" s="295" t="str">
        <f t="shared" si="142"/>
        <v>2037 год</v>
      </c>
      <c r="M773" s="401"/>
      <c r="N773" s="412"/>
      <c r="O773" s="401"/>
      <c r="P773" s="401"/>
      <c r="Q773" s="412"/>
      <c r="R773" s="401"/>
      <c r="S773" s="412"/>
      <c r="T773" s="401"/>
      <c r="U773" s="563"/>
      <c r="V773" s="559"/>
    </row>
    <row r="774" spans="1:22" s="104" customFormat="1" ht="15" customHeight="1" outlineLevel="1">
      <c r="A774" s="561" t="str">
        <f t="shared" ca="1" si="139"/>
        <v>et_List18_block</v>
      </c>
      <c r="B774" s="551">
        <f t="shared" si="141"/>
        <v>0</v>
      </c>
      <c r="F774" s="104">
        <f>first_year+18</f>
        <v>2038</v>
      </c>
      <c r="G774" s="104" t="b">
        <f t="shared" si="143"/>
        <v>0</v>
      </c>
      <c r="K774" s="1160"/>
      <c r="L774" s="295" t="str">
        <f t="shared" si="142"/>
        <v>2038 год</v>
      </c>
      <c r="M774" s="401"/>
      <c r="N774" s="412"/>
      <c r="O774" s="401"/>
      <c r="P774" s="401"/>
      <c r="Q774" s="412"/>
      <c r="R774" s="401"/>
      <c r="S774" s="412"/>
      <c r="T774" s="401"/>
      <c r="U774" s="563"/>
      <c r="V774" s="559"/>
    </row>
    <row r="775" spans="1:22" s="104" customFormat="1" ht="15" customHeight="1" outlineLevel="1">
      <c r="A775" s="561" t="str">
        <f t="shared" ca="1" si="139"/>
        <v>et_List18_block</v>
      </c>
      <c r="B775" s="551">
        <f t="shared" si="141"/>
        <v>0</v>
      </c>
      <c r="F775" s="104">
        <f>first_year+19</f>
        <v>2039</v>
      </c>
      <c r="G775" s="104" t="b">
        <f t="shared" si="143"/>
        <v>0</v>
      </c>
      <c r="K775" s="1160"/>
      <c r="L775" s="295" t="str">
        <f t="shared" si="142"/>
        <v>2039 год</v>
      </c>
      <c r="M775" s="401"/>
      <c r="N775" s="412"/>
      <c r="O775" s="401"/>
      <c r="P775" s="401"/>
      <c r="Q775" s="412"/>
      <c r="R775" s="401"/>
      <c r="S775" s="412"/>
      <c r="T775" s="401"/>
      <c r="U775" s="563"/>
      <c r="V775" s="559"/>
    </row>
    <row r="776" spans="1:22" s="104" customFormat="1" ht="15" customHeight="1" outlineLevel="1">
      <c r="A776" s="561" t="str">
        <f t="shared" ca="1" si="139"/>
        <v>et_List18_block</v>
      </c>
      <c r="B776" s="551">
        <f t="shared" si="141"/>
        <v>0</v>
      </c>
      <c r="F776" s="104">
        <f>first_year+20</f>
        <v>2040</v>
      </c>
      <c r="G776" s="104" t="b">
        <f t="shared" si="143"/>
        <v>0</v>
      </c>
      <c r="K776" s="1160"/>
      <c r="L776" s="295" t="str">
        <f t="shared" si="142"/>
        <v>2040 год</v>
      </c>
      <c r="M776" s="401"/>
      <c r="N776" s="412"/>
      <c r="O776" s="401"/>
      <c r="P776" s="401"/>
      <c r="Q776" s="412"/>
      <c r="R776" s="401"/>
      <c r="S776" s="412"/>
      <c r="T776" s="401"/>
      <c r="U776" s="563"/>
      <c r="V776" s="559"/>
    </row>
    <row r="777" spans="1:22" s="104" customFormat="1" ht="15" customHeight="1" outlineLevel="1">
      <c r="A777" s="561" t="str">
        <f t="shared" ca="1" si="139"/>
        <v>et_List18_block</v>
      </c>
      <c r="B777" s="551">
        <f t="shared" si="141"/>
        <v>0</v>
      </c>
      <c r="F777" s="104">
        <f>first_year+21</f>
        <v>2041</v>
      </c>
      <c r="G777" s="104" t="b">
        <f t="shared" si="143"/>
        <v>0</v>
      </c>
      <c r="K777" s="1160"/>
      <c r="L777" s="295" t="str">
        <f t="shared" si="142"/>
        <v>2041 год</v>
      </c>
      <c r="M777" s="401"/>
      <c r="N777" s="412"/>
      <c r="O777" s="401"/>
      <c r="P777" s="401"/>
      <c r="Q777" s="412"/>
      <c r="R777" s="401"/>
      <c r="S777" s="412"/>
      <c r="T777" s="401"/>
      <c r="U777" s="563"/>
      <c r="V777" s="559"/>
    </row>
    <row r="778" spans="1:22" s="104" customFormat="1" ht="15" customHeight="1" outlineLevel="1">
      <c r="A778" s="561" t="str">
        <f t="shared" ca="1" si="139"/>
        <v>et_List18_block</v>
      </c>
      <c r="B778" s="551">
        <f t="shared" si="141"/>
        <v>0</v>
      </c>
      <c r="F778" s="104">
        <f>first_year+22</f>
        <v>2042</v>
      </c>
      <c r="G778" s="104" t="b">
        <f t="shared" si="143"/>
        <v>0</v>
      </c>
      <c r="K778" s="1160"/>
      <c r="L778" s="295" t="str">
        <f t="shared" si="142"/>
        <v>2042 год</v>
      </c>
      <c r="M778" s="401"/>
      <c r="N778" s="412"/>
      <c r="O778" s="401"/>
      <c r="P778" s="401"/>
      <c r="Q778" s="412"/>
      <c r="R778" s="401"/>
      <c r="S778" s="412"/>
      <c r="T778" s="401"/>
      <c r="U778" s="563"/>
      <c r="V778" s="559"/>
    </row>
    <row r="779" spans="1:22" s="104" customFormat="1" ht="15" customHeight="1" outlineLevel="1">
      <c r="A779" s="561" t="str">
        <f t="shared" ca="1" si="139"/>
        <v>et_List18_block</v>
      </c>
      <c r="B779" s="551">
        <f t="shared" si="141"/>
        <v>0</v>
      </c>
      <c r="F779" s="104">
        <f>first_year+23</f>
        <v>2043</v>
      </c>
      <c r="G779" s="104" t="b">
        <f t="shared" si="143"/>
        <v>0</v>
      </c>
      <c r="K779" s="1160"/>
      <c r="L779" s="295" t="str">
        <f t="shared" si="142"/>
        <v>2043 год</v>
      </c>
      <c r="M779" s="401"/>
      <c r="N779" s="412"/>
      <c r="O779" s="401"/>
      <c r="P779" s="401"/>
      <c r="Q779" s="412"/>
      <c r="R779" s="401"/>
      <c r="S779" s="412"/>
      <c r="T779" s="401"/>
      <c r="U779" s="563"/>
      <c r="V779" s="559"/>
    </row>
    <row r="780" spans="1:22" s="104" customFormat="1" ht="15" customHeight="1" outlineLevel="1">
      <c r="A780" s="561" t="str">
        <f t="shared" ca="1" si="139"/>
        <v>et_List18_block</v>
      </c>
      <c r="B780" s="551">
        <f t="shared" si="141"/>
        <v>0</v>
      </c>
      <c r="F780" s="104">
        <f>first_year+24</f>
        <v>2044</v>
      </c>
      <c r="G780" s="104" t="b">
        <f t="shared" si="143"/>
        <v>0</v>
      </c>
      <c r="K780" s="1160"/>
      <c r="L780" s="295" t="str">
        <f t="shared" si="142"/>
        <v>2044 год</v>
      </c>
      <c r="M780" s="401"/>
      <c r="N780" s="412"/>
      <c r="O780" s="401"/>
      <c r="P780" s="401"/>
      <c r="Q780" s="412"/>
      <c r="R780" s="401"/>
      <c r="S780" s="412"/>
      <c r="T780" s="401"/>
      <c r="U780" s="563"/>
      <c r="V780" s="559"/>
    </row>
    <row r="781" spans="1:22" s="104" customFormat="1" ht="15" customHeight="1" outlineLevel="1">
      <c r="A781" s="561" t="str">
        <f t="shared" ca="1" si="139"/>
        <v>et_List18_block</v>
      </c>
      <c r="B781" s="551">
        <f t="shared" si="141"/>
        <v>0</v>
      </c>
      <c r="F781" s="104">
        <f>first_year+25</f>
        <v>2045</v>
      </c>
      <c r="G781" s="104" t="b">
        <f t="shared" si="143"/>
        <v>0</v>
      </c>
      <c r="K781" s="1160"/>
      <c r="L781" s="295" t="str">
        <f t="shared" si="142"/>
        <v>2045 год</v>
      </c>
      <c r="M781" s="401"/>
      <c r="N781" s="412"/>
      <c r="O781" s="401"/>
      <c r="P781" s="401"/>
      <c r="Q781" s="412"/>
      <c r="R781" s="401"/>
      <c r="S781" s="412"/>
      <c r="T781" s="401"/>
      <c r="U781" s="563"/>
      <c r="V781" s="559"/>
    </row>
    <row r="782" spans="1:22" s="104" customFormat="1" ht="15" customHeight="1" outlineLevel="1">
      <c r="A782" s="561" t="str">
        <f t="shared" ca="1" si="139"/>
        <v>et_List18_block</v>
      </c>
      <c r="B782" s="551">
        <f t="shared" si="141"/>
        <v>0</v>
      </c>
      <c r="F782" s="104">
        <f>first_year+26</f>
        <v>2046</v>
      </c>
      <c r="G782" s="104" t="b">
        <f t="shared" si="143"/>
        <v>0</v>
      </c>
      <c r="K782" s="1160"/>
      <c r="L782" s="295" t="str">
        <f t="shared" si="142"/>
        <v>2046 год</v>
      </c>
      <c r="M782" s="401"/>
      <c r="N782" s="412"/>
      <c r="O782" s="401"/>
      <c r="P782" s="401"/>
      <c r="Q782" s="412"/>
      <c r="R782" s="401"/>
      <c r="S782" s="412"/>
      <c r="T782" s="401"/>
      <c r="U782" s="563"/>
      <c r="V782" s="559"/>
    </row>
    <row r="783" spans="1:22" s="104" customFormat="1" ht="15" customHeight="1" outlineLevel="1">
      <c r="A783" s="561" t="str">
        <f t="shared" ca="1" si="139"/>
        <v>et_List18_block</v>
      </c>
      <c r="B783" s="551">
        <f t="shared" si="141"/>
        <v>0</v>
      </c>
      <c r="F783" s="104">
        <f>first_year+27</f>
        <v>2047</v>
      </c>
      <c r="G783" s="104" t="b">
        <f t="shared" si="143"/>
        <v>0</v>
      </c>
      <c r="K783" s="1160"/>
      <c r="L783" s="295" t="str">
        <f t="shared" si="142"/>
        <v>2047 год</v>
      </c>
      <c r="M783" s="401"/>
      <c r="N783" s="412"/>
      <c r="O783" s="401"/>
      <c r="P783" s="401"/>
      <c r="Q783" s="412"/>
      <c r="R783" s="401"/>
      <c r="S783" s="412"/>
      <c r="T783" s="401"/>
      <c r="U783" s="563"/>
      <c r="V783" s="559"/>
    </row>
    <row r="784" spans="1:22" s="104" customFormat="1" ht="15" customHeight="1" outlineLevel="1">
      <c r="A784" s="561" t="str">
        <f t="shared" ca="1" si="139"/>
        <v>et_List18_block</v>
      </c>
      <c r="B784" s="551">
        <f t="shared" si="141"/>
        <v>0</v>
      </c>
      <c r="F784" s="104">
        <f>first_year+28</f>
        <v>2048</v>
      </c>
      <c r="G784" s="104" t="b">
        <f t="shared" si="143"/>
        <v>0</v>
      </c>
      <c r="K784" s="1160"/>
      <c r="L784" s="295" t="str">
        <f t="shared" si="142"/>
        <v>2048 год</v>
      </c>
      <c r="M784" s="401"/>
      <c r="N784" s="412"/>
      <c r="O784" s="401"/>
      <c r="P784" s="401"/>
      <c r="Q784" s="412"/>
      <c r="R784" s="401"/>
      <c r="S784" s="412"/>
      <c r="T784" s="401"/>
      <c r="U784" s="563"/>
      <c r="V784" s="559"/>
    </row>
    <row r="785" spans="1:22" s="104" customFormat="1" ht="15" customHeight="1" outlineLevel="1">
      <c r="A785" s="561" t="str">
        <f t="shared" ca="1" si="139"/>
        <v>et_List18_block</v>
      </c>
      <c r="B785" s="551">
        <f t="shared" si="141"/>
        <v>0</v>
      </c>
      <c r="F785" s="104">
        <f>first_year+29</f>
        <v>2049</v>
      </c>
      <c r="G785" s="104" t="b">
        <f t="shared" si="143"/>
        <v>0</v>
      </c>
      <c r="K785" s="1160"/>
      <c r="L785" s="295" t="str">
        <f t="shared" si="142"/>
        <v>2049 год</v>
      </c>
      <c r="M785" s="401"/>
      <c r="N785" s="412"/>
      <c r="O785" s="401"/>
      <c r="P785" s="401"/>
      <c r="Q785" s="412"/>
      <c r="R785" s="401"/>
      <c r="S785" s="412"/>
      <c r="T785" s="401"/>
      <c r="U785" s="563"/>
      <c r="V785" s="559"/>
    </row>
    <row r="786" spans="1:22" s="104" customFormat="1" ht="15" customHeight="1" outlineLevel="1">
      <c r="A786" s="561" t="str">
        <f t="shared" ca="1" si="139"/>
        <v>et_List18_block</v>
      </c>
      <c r="B786" s="551">
        <f t="shared" si="141"/>
        <v>0</v>
      </c>
      <c r="F786" s="104">
        <f>first_year+30</f>
        <v>2050</v>
      </c>
      <c r="G786" s="104" t="b">
        <f t="shared" si="143"/>
        <v>0</v>
      </c>
      <c r="K786" s="1160"/>
      <c r="L786" s="295" t="str">
        <f t="shared" si="142"/>
        <v>2050 год</v>
      </c>
      <c r="M786" s="401"/>
      <c r="N786" s="412"/>
      <c r="O786" s="401"/>
      <c r="P786" s="401"/>
      <c r="Q786" s="412"/>
      <c r="R786" s="401"/>
      <c r="S786" s="412"/>
      <c r="T786" s="401"/>
      <c r="U786" s="563"/>
      <c r="V786" s="559"/>
    </row>
    <row r="787" spans="1:22" s="104" customFormat="1" ht="15" customHeight="1" outlineLevel="1">
      <c r="A787" s="561" t="str">
        <f t="shared" ca="1" si="139"/>
        <v>et_List18_block</v>
      </c>
      <c r="B787" s="551">
        <f t="shared" si="141"/>
        <v>0</v>
      </c>
      <c r="F787" s="104">
        <f>first_year+31</f>
        <v>2051</v>
      </c>
      <c r="G787" s="104" t="b">
        <f t="shared" si="143"/>
        <v>0</v>
      </c>
      <c r="K787" s="1160"/>
      <c r="L787" s="295" t="str">
        <f t="shared" si="142"/>
        <v>2051 год</v>
      </c>
      <c r="M787" s="401"/>
      <c r="N787" s="412"/>
      <c r="O787" s="401"/>
      <c r="P787" s="401"/>
      <c r="Q787" s="412"/>
      <c r="R787" s="401"/>
      <c r="S787" s="412"/>
      <c r="T787" s="401"/>
      <c r="U787" s="563"/>
      <c r="V787" s="559"/>
    </row>
    <row r="788" spans="1:22" s="104" customFormat="1" ht="15" customHeight="1" outlineLevel="1">
      <c r="A788" s="561" t="str">
        <f t="shared" ca="1" si="139"/>
        <v>et_List18_block</v>
      </c>
      <c r="B788" s="551">
        <f t="shared" si="141"/>
        <v>0</v>
      </c>
      <c r="F788" s="104">
        <f>first_year+32</f>
        <v>2052</v>
      </c>
      <c r="G788" s="104" t="b">
        <f t="shared" si="143"/>
        <v>0</v>
      </c>
      <c r="K788" s="1160"/>
      <c r="L788" s="295" t="str">
        <f t="shared" si="142"/>
        <v>2052 год</v>
      </c>
      <c r="M788" s="401"/>
      <c r="N788" s="412"/>
      <c r="O788" s="401"/>
      <c r="P788" s="401"/>
      <c r="Q788" s="412"/>
      <c r="R788" s="401"/>
      <c r="S788" s="412"/>
      <c r="T788" s="401"/>
      <c r="U788" s="563"/>
      <c r="V788" s="559"/>
    </row>
    <row r="789" spans="1:22" s="104" customFormat="1" ht="15" customHeight="1" outlineLevel="1">
      <c r="A789" s="561" t="str">
        <f t="shared" ca="1" si="139"/>
        <v>et_List18_block</v>
      </c>
      <c r="B789" s="551">
        <f t="shared" si="141"/>
        <v>0</v>
      </c>
      <c r="F789" s="104">
        <f>first_year+33</f>
        <v>2053</v>
      </c>
      <c r="G789" s="104" t="b">
        <f t="shared" si="143"/>
        <v>0</v>
      </c>
      <c r="K789" s="1160"/>
      <c r="L789" s="295" t="str">
        <f t="shared" si="142"/>
        <v>2053 год</v>
      </c>
      <c r="M789" s="401"/>
      <c r="N789" s="412"/>
      <c r="O789" s="401"/>
      <c r="P789" s="401"/>
      <c r="Q789" s="412"/>
      <c r="R789" s="401"/>
      <c r="S789" s="412"/>
      <c r="T789" s="401"/>
      <c r="U789" s="563"/>
      <c r="V789" s="559"/>
    </row>
    <row r="790" spans="1:22" s="104" customFormat="1" ht="15" customHeight="1" outlineLevel="1">
      <c r="A790" s="561" t="str">
        <f t="shared" ca="1" si="139"/>
        <v>et_List18_block</v>
      </c>
      <c r="B790" s="551">
        <f t="shared" si="141"/>
        <v>0</v>
      </c>
      <c r="F790" s="104">
        <f>first_year+34</f>
        <v>2054</v>
      </c>
      <c r="G790" s="104" t="b">
        <f t="shared" si="143"/>
        <v>0</v>
      </c>
      <c r="K790" s="1160"/>
      <c r="L790" s="295" t="str">
        <f t="shared" si="142"/>
        <v>2054 год</v>
      </c>
      <c r="M790" s="401"/>
      <c r="N790" s="412"/>
      <c r="O790" s="401"/>
      <c r="P790" s="401"/>
      <c r="Q790" s="412"/>
      <c r="R790" s="401"/>
      <c r="S790" s="412"/>
      <c r="T790" s="401"/>
      <c r="U790" s="563"/>
      <c r="V790" s="559"/>
    </row>
    <row r="791" spans="1:22" s="104" customFormat="1" ht="15" customHeight="1" outlineLevel="1">
      <c r="A791" s="561" t="str">
        <f t="shared" ca="1" si="139"/>
        <v>et_List18_block</v>
      </c>
      <c r="B791" s="551">
        <f t="shared" si="141"/>
        <v>0</v>
      </c>
      <c r="F791" s="104">
        <f>first_year+35</f>
        <v>2055</v>
      </c>
      <c r="G791" s="104" t="b">
        <f t="shared" si="143"/>
        <v>0</v>
      </c>
      <c r="K791" s="1160"/>
      <c r="L791" s="295" t="str">
        <f t="shared" si="142"/>
        <v>2055 год</v>
      </c>
      <c r="M791" s="401"/>
      <c r="N791" s="412"/>
      <c r="O791" s="401"/>
      <c r="P791" s="401"/>
      <c r="Q791" s="412"/>
      <c r="R791" s="401"/>
      <c r="S791" s="412"/>
      <c r="T791" s="401"/>
      <c r="U791" s="563"/>
      <c r="V791" s="559"/>
    </row>
    <row r="792" spans="1:22" s="104" customFormat="1" ht="15" customHeight="1" outlineLevel="1">
      <c r="A792" s="561" t="str">
        <f t="shared" ca="1" si="139"/>
        <v>et_List18_block</v>
      </c>
      <c r="B792" s="551">
        <f t="shared" si="141"/>
        <v>0</v>
      </c>
      <c r="F792" s="104">
        <f>first_year+36</f>
        <v>2056</v>
      </c>
      <c r="G792" s="104" t="b">
        <f t="shared" si="143"/>
        <v>0</v>
      </c>
      <c r="K792" s="1160"/>
      <c r="L792" s="295" t="str">
        <f t="shared" si="142"/>
        <v>2056 год</v>
      </c>
      <c r="M792" s="401"/>
      <c r="N792" s="412"/>
      <c r="O792" s="401"/>
      <c r="P792" s="401"/>
      <c r="Q792" s="412"/>
      <c r="R792" s="401"/>
      <c r="S792" s="412"/>
      <c r="T792" s="401"/>
      <c r="U792" s="563"/>
      <c r="V792" s="559"/>
    </row>
    <row r="793" spans="1:22" s="104" customFormat="1" ht="15" customHeight="1" outlineLevel="1">
      <c r="A793" s="561" t="str">
        <f t="shared" ca="1" si="139"/>
        <v>et_List18_block</v>
      </c>
      <c r="B793" s="551">
        <f t="shared" si="141"/>
        <v>0</v>
      </c>
      <c r="F793" s="104">
        <f>first_year+37</f>
        <v>2057</v>
      </c>
      <c r="G793" s="104" t="b">
        <f t="shared" si="143"/>
        <v>0</v>
      </c>
      <c r="K793" s="1160"/>
      <c r="L793" s="295" t="str">
        <f t="shared" si="142"/>
        <v>2057 год</v>
      </c>
      <c r="M793" s="401"/>
      <c r="N793" s="412"/>
      <c r="O793" s="401"/>
      <c r="P793" s="401"/>
      <c r="Q793" s="412"/>
      <c r="R793" s="401"/>
      <c r="S793" s="412"/>
      <c r="T793" s="401"/>
      <c r="U793" s="563"/>
      <c r="V793" s="559"/>
    </row>
    <row r="794" spans="1:22" s="104" customFormat="1" ht="15" customHeight="1" outlineLevel="1">
      <c r="A794" s="561" t="str">
        <f t="shared" ca="1" si="139"/>
        <v>et_List18_block</v>
      </c>
      <c r="B794" s="551">
        <f t="shared" si="141"/>
        <v>0</v>
      </c>
      <c r="F794" s="104">
        <f>first_year+38</f>
        <v>2058</v>
      </c>
      <c r="G794" s="104" t="b">
        <f t="shared" si="143"/>
        <v>0</v>
      </c>
      <c r="K794" s="1160"/>
      <c r="L794" s="295" t="str">
        <f t="shared" si="142"/>
        <v>2058 год</v>
      </c>
      <c r="M794" s="401"/>
      <c r="N794" s="412"/>
      <c r="O794" s="401"/>
      <c r="P794" s="401"/>
      <c r="Q794" s="412"/>
      <c r="R794" s="401"/>
      <c r="S794" s="412"/>
      <c r="T794" s="401"/>
      <c r="U794" s="563"/>
      <c r="V794" s="559"/>
    </row>
    <row r="795" spans="1:22" s="104" customFormat="1" ht="15" customHeight="1" outlineLevel="1">
      <c r="A795" s="561" t="str">
        <f t="shared" ca="1" si="139"/>
        <v>et_List18_block</v>
      </c>
      <c r="B795" s="551">
        <f t="shared" si="141"/>
        <v>0</v>
      </c>
      <c r="F795" s="104">
        <f>first_year+39</f>
        <v>2059</v>
      </c>
      <c r="G795" s="104" t="b">
        <f t="shared" si="143"/>
        <v>0</v>
      </c>
      <c r="K795" s="1160"/>
      <c r="L795" s="295" t="str">
        <f t="shared" si="142"/>
        <v>2059 год</v>
      </c>
      <c r="M795" s="401"/>
      <c r="N795" s="412"/>
      <c r="O795" s="401"/>
      <c r="P795" s="401"/>
      <c r="Q795" s="412"/>
      <c r="R795" s="401"/>
      <c r="S795" s="412"/>
      <c r="T795" s="401"/>
      <c r="U795" s="563"/>
      <c r="V795" s="559"/>
    </row>
    <row r="796" spans="1:22" s="104" customFormat="1" ht="15" customHeight="1" outlineLevel="1">
      <c r="A796" s="561" t="str">
        <f t="shared" ca="1" si="139"/>
        <v>et_List18_block</v>
      </c>
      <c r="B796" s="551">
        <f t="shared" si="141"/>
        <v>0</v>
      </c>
      <c r="F796" s="104">
        <f>first_year+40</f>
        <v>2060</v>
      </c>
      <c r="G796" s="104" t="b">
        <f t="shared" si="143"/>
        <v>0</v>
      </c>
      <c r="K796" s="1160"/>
      <c r="L796" s="295" t="str">
        <f t="shared" si="142"/>
        <v>2060 год</v>
      </c>
      <c r="M796" s="401"/>
      <c r="N796" s="412"/>
      <c r="O796" s="401"/>
      <c r="P796" s="401"/>
      <c r="Q796" s="412"/>
      <c r="R796" s="401"/>
      <c r="S796" s="412"/>
      <c r="T796" s="401"/>
      <c r="U796" s="563"/>
      <c r="V796" s="559"/>
    </row>
    <row r="797" spans="1:22" s="104" customFormat="1" ht="15" customHeight="1" outlineLevel="1">
      <c r="A797" s="561" t="str">
        <f t="shared" ca="1" si="139"/>
        <v>et_List18_block</v>
      </c>
      <c r="B797" s="551">
        <f t="shared" si="141"/>
        <v>0</v>
      </c>
      <c r="F797" s="104">
        <f>first_year+41</f>
        <v>2061</v>
      </c>
      <c r="G797" s="104" t="b">
        <f t="shared" si="143"/>
        <v>0</v>
      </c>
      <c r="K797" s="1160"/>
      <c r="L797" s="295" t="str">
        <f t="shared" si="142"/>
        <v>2061 год</v>
      </c>
      <c r="M797" s="401"/>
      <c r="N797" s="412"/>
      <c r="O797" s="401"/>
      <c r="P797" s="401"/>
      <c r="Q797" s="412"/>
      <c r="R797" s="401"/>
      <c r="S797" s="412"/>
      <c r="T797" s="401"/>
      <c r="U797" s="563"/>
      <c r="V797" s="559"/>
    </row>
    <row r="798" spans="1:22" s="104" customFormat="1" ht="15" customHeight="1" outlineLevel="1">
      <c r="A798" s="561" t="str">
        <f t="shared" ca="1" si="139"/>
        <v>et_List18_block</v>
      </c>
      <c r="B798" s="551">
        <f t="shared" si="141"/>
        <v>0</v>
      </c>
      <c r="F798" s="104">
        <f>first_year+42</f>
        <v>2062</v>
      </c>
      <c r="G798" s="104" t="b">
        <f t="shared" si="143"/>
        <v>0</v>
      </c>
      <c r="K798" s="1160"/>
      <c r="L798" s="295" t="str">
        <f t="shared" si="142"/>
        <v>2062 год</v>
      </c>
      <c r="M798" s="401"/>
      <c r="N798" s="412"/>
      <c r="O798" s="401"/>
      <c r="P798" s="401"/>
      <c r="Q798" s="412"/>
      <c r="R798" s="401"/>
      <c r="S798" s="412"/>
      <c r="T798" s="401"/>
      <c r="U798" s="563"/>
      <c r="V798" s="559"/>
    </row>
    <row r="799" spans="1:22" s="104" customFormat="1" ht="15" customHeight="1" outlineLevel="1">
      <c r="A799" s="561" t="str">
        <f t="shared" ca="1" si="139"/>
        <v>et_List18_block</v>
      </c>
      <c r="B799" s="551">
        <f t="shared" si="141"/>
        <v>0</v>
      </c>
      <c r="F799" s="104">
        <f>first_year+43</f>
        <v>2063</v>
      </c>
      <c r="G799" s="104" t="b">
        <f t="shared" si="143"/>
        <v>0</v>
      </c>
      <c r="K799" s="1160"/>
      <c r="L799" s="295" t="str">
        <f t="shared" si="142"/>
        <v>2063 год</v>
      </c>
      <c r="M799" s="401"/>
      <c r="N799" s="412"/>
      <c r="O799" s="401"/>
      <c r="P799" s="401"/>
      <c r="Q799" s="412"/>
      <c r="R799" s="401"/>
      <c r="S799" s="412"/>
      <c r="T799" s="401"/>
      <c r="U799" s="563"/>
      <c r="V799" s="559"/>
    </row>
    <row r="800" spans="1:22" s="104" customFormat="1" ht="15" customHeight="1" outlineLevel="1">
      <c r="A800" s="561" t="str">
        <f t="shared" ca="1" si="139"/>
        <v>et_List18_block</v>
      </c>
      <c r="B800" s="551">
        <f t="shared" si="141"/>
        <v>0</v>
      </c>
      <c r="F800" s="104">
        <f>first_year+44</f>
        <v>2064</v>
      </c>
      <c r="G800" s="104" t="b">
        <f t="shared" si="143"/>
        <v>0</v>
      </c>
      <c r="K800" s="1160"/>
      <c r="L800" s="295" t="str">
        <f t="shared" si="142"/>
        <v>2064 год</v>
      </c>
      <c r="M800" s="401"/>
      <c r="N800" s="412"/>
      <c r="O800" s="401"/>
      <c r="P800" s="401"/>
      <c r="Q800" s="412"/>
      <c r="R800" s="401"/>
      <c r="S800" s="412"/>
      <c r="T800" s="401"/>
      <c r="U800" s="563"/>
      <c r="V800" s="559"/>
    </row>
    <row r="801" spans="1:22" s="104" customFormat="1" ht="15" customHeight="1" outlineLevel="1">
      <c r="A801" s="561" t="str">
        <f t="shared" ca="1" si="139"/>
        <v>et_List18_block</v>
      </c>
      <c r="B801" s="551">
        <f t="shared" si="141"/>
        <v>0</v>
      </c>
      <c r="F801" s="104">
        <f>first_year+45</f>
        <v>2065</v>
      </c>
      <c r="G801" s="104" t="b">
        <f t="shared" si="143"/>
        <v>0</v>
      </c>
      <c r="K801" s="1160"/>
      <c r="L801" s="295" t="str">
        <f t="shared" si="142"/>
        <v>2065 год</v>
      </c>
      <c r="M801" s="401"/>
      <c r="N801" s="412"/>
      <c r="O801" s="401"/>
      <c r="P801" s="401"/>
      <c r="Q801" s="412"/>
      <c r="R801" s="401"/>
      <c r="S801" s="412"/>
      <c r="T801" s="401"/>
      <c r="U801" s="563"/>
      <c r="V801" s="559"/>
    </row>
    <row r="802" spans="1:22" s="104" customFormat="1" ht="15" customHeight="1" outlineLevel="1">
      <c r="A802" s="561" t="str">
        <f t="shared" ca="1" si="139"/>
        <v>et_List18_block</v>
      </c>
      <c r="B802" s="551">
        <f t="shared" si="141"/>
        <v>0</v>
      </c>
      <c r="F802" s="104">
        <f>first_year+46</f>
        <v>2066</v>
      </c>
      <c r="G802" s="104" t="b">
        <f t="shared" si="143"/>
        <v>0</v>
      </c>
      <c r="K802" s="1160"/>
      <c r="L802" s="295" t="str">
        <f t="shared" si="142"/>
        <v>2066 год</v>
      </c>
      <c r="M802" s="401"/>
      <c r="N802" s="412"/>
      <c r="O802" s="401"/>
      <c r="P802" s="401"/>
      <c r="Q802" s="412"/>
      <c r="R802" s="401"/>
      <c r="S802" s="412"/>
      <c r="T802" s="401"/>
      <c r="U802" s="563"/>
      <c r="V802" s="559"/>
    </row>
    <row r="803" spans="1:22" s="104" customFormat="1" ht="15" customHeight="1" outlineLevel="1">
      <c r="A803" s="561" t="str">
        <f t="shared" ca="1" si="139"/>
        <v>et_List18_block</v>
      </c>
      <c r="B803" s="551">
        <f t="shared" si="141"/>
        <v>0</v>
      </c>
      <c r="F803" s="104">
        <f>first_year+47</f>
        <v>2067</v>
      </c>
      <c r="G803" s="104" t="b">
        <f t="shared" si="143"/>
        <v>0</v>
      </c>
      <c r="K803" s="1160"/>
      <c r="L803" s="295" t="str">
        <f t="shared" si="142"/>
        <v>2067 год</v>
      </c>
      <c r="M803" s="401"/>
      <c r="N803" s="412"/>
      <c r="O803" s="401"/>
      <c r="P803" s="401"/>
      <c r="Q803" s="412"/>
      <c r="R803" s="401"/>
      <c r="S803" s="412"/>
      <c r="T803" s="401"/>
      <c r="U803" s="563"/>
      <c r="V803" s="559"/>
    </row>
    <row r="804" spans="1:22" s="104" customFormat="1" ht="15" customHeight="1" outlineLevel="1">
      <c r="A804" s="561" t="str">
        <f t="shared" ca="1" si="139"/>
        <v>et_List18_block</v>
      </c>
      <c r="B804" s="551">
        <f t="shared" si="141"/>
        <v>0</v>
      </c>
      <c r="F804" s="104">
        <f>first_year+48</f>
        <v>2068</v>
      </c>
      <c r="G804" s="104" t="b">
        <f t="shared" si="143"/>
        <v>0</v>
      </c>
      <c r="K804" s="1160"/>
      <c r="L804" s="295" t="str">
        <f t="shared" si="142"/>
        <v>2068 год</v>
      </c>
      <c r="M804" s="401"/>
      <c r="N804" s="412"/>
      <c r="O804" s="401"/>
      <c r="P804" s="401"/>
      <c r="Q804" s="412"/>
      <c r="R804" s="401"/>
      <c r="S804" s="412"/>
      <c r="T804" s="401"/>
      <c r="U804" s="563"/>
      <c r="V804" s="559"/>
    </row>
    <row r="805" spans="1:22" s="104" customFormat="1" ht="15" customHeight="1" outlineLevel="1">
      <c r="A805" s="561" t="str">
        <f t="shared" ca="1" si="139"/>
        <v>et_List18_block</v>
      </c>
      <c r="B805" s="551">
        <f t="shared" si="141"/>
        <v>0</v>
      </c>
      <c r="F805" s="104">
        <f>first_year+49</f>
        <v>2069</v>
      </c>
      <c r="G805" s="104" t="b">
        <f t="shared" si="143"/>
        <v>0</v>
      </c>
      <c r="K805" s="1160"/>
      <c r="L805" s="295" t="str">
        <f>F805&amp; " год"</f>
        <v>2069 год</v>
      </c>
      <c r="M805" s="401"/>
      <c r="N805" s="412"/>
      <c r="O805" s="401"/>
      <c r="P805" s="401"/>
      <c r="Q805" s="412"/>
      <c r="R805" s="401"/>
      <c r="S805" s="412"/>
      <c r="T805" s="401"/>
      <c r="U805" s="563"/>
      <c r="V805" s="559"/>
    </row>
  </sheetData>
  <sheetProtection formatColumns="0" formatRows="0"/>
  <mergeCells count="44">
    <mergeCell ref="E35:E40"/>
    <mergeCell ref="F35:G35"/>
    <mergeCell ref="F36:G36"/>
    <mergeCell ref="F37:G37"/>
    <mergeCell ref="F38:G38"/>
    <mergeCell ref="F39:G39"/>
    <mergeCell ref="F40:G40"/>
    <mergeCell ref="E28:E33"/>
    <mergeCell ref="F28:G28"/>
    <mergeCell ref="F29:G29"/>
    <mergeCell ref="F30:G30"/>
    <mergeCell ref="F31:G31"/>
    <mergeCell ref="F32:G32"/>
    <mergeCell ref="F33:G33"/>
    <mergeCell ref="E21:E25"/>
    <mergeCell ref="F21:G21"/>
    <mergeCell ref="F22:G22"/>
    <mergeCell ref="F23:G23"/>
    <mergeCell ref="F24:G24"/>
    <mergeCell ref="F25:G25"/>
    <mergeCell ref="D3:D15"/>
    <mergeCell ref="O61:S61"/>
    <mergeCell ref="O68:S68"/>
    <mergeCell ref="K755:K805"/>
    <mergeCell ref="L624:M624"/>
    <mergeCell ref="L625:M625"/>
    <mergeCell ref="L626:M626"/>
    <mergeCell ref="L582:M582"/>
    <mergeCell ref="L583:M583"/>
    <mergeCell ref="L584:M584"/>
    <mergeCell ref="L585:M585"/>
    <mergeCell ref="L623:M623"/>
    <mergeCell ref="J223:J225"/>
    <mergeCell ref="J324:J326"/>
    <mergeCell ref="J632:J633"/>
    <mergeCell ref="E17:G17"/>
    <mergeCell ref="L755:U755"/>
    <mergeCell ref="J328:J330"/>
    <mergeCell ref="J332:J334"/>
    <mergeCell ref="J227:J233"/>
    <mergeCell ref="J216:J218"/>
    <mergeCell ref="J320:J322"/>
    <mergeCell ref="J635:J640"/>
    <mergeCell ref="J336:J338"/>
  </mergeCells>
  <phoneticPr fontId="14"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Y47 WHC47 VXG47 VNK47 VDO47 UTS47 UJW47 UAA47 TQE47 TGI47 SWM47 SMQ47 SCU47 RSY47 RJC47 QZG47 QPK47 QFO47 PVS47 PLW47 PCA47 OSE47 OII47 NYM47 NOQ47 NEU47 MUY47 MLC47 MBG47 LRK47 LHO47 KXS47 KNW47 KEA47 JUE47 JKI47 JAM47 IQQ47 IGU47 HWY47 HNC47 HDG47 GTK47 GJO47 FZS47 FPW47 FGA47 EWE47 EMI47 ECM47 DSQ47 DIU47 CYY47 CPC47 CFG47 BVK47 BLO47 BBS47 ARW47 AIA47 YE47 OI47 EM47 WQY50 WHC50 VXG50 VNK50 VDO50 UTS50 UJW50 UAA50 TQE50 TGI50 SWM50 SMQ50 SCU50 RSY50 RJC50 QZG50 QPK50 QFO50 PVS50 PLW50 PCA50 OSE50 OII50 NYM50 NOQ50 NEU50 MUY50 MLC50 MBG50 LRK50 LHO50 KXS50 KNW50 KEA50 JUE50 JKI50 JAM50 IQQ50 IGU50 HWY50 HNC50 HDG50 GTK50 GJO50 FZS50 FPW50 FGA50 EWE50 EMI50 ECM50 DSQ50 DIU50 CYY50 CPC50 CFG50 BVK50 BLO50 BBS50 ARW50 AIA50 YE50 OI50 EM50">
      <formula1>0</formula1>
      <formula2>10000000</formula2>
    </dataValidation>
    <dataValidation type="list" showInputMessage="1" showErrorMessage="1" errorTitle="Внимание" error="Пожалуйста, выберите значение из списка" sqref="WSZ47 WJD47 VZH47 VPL47 VFP47 UVT47 ULX47 UCB47 TSF47 TIJ47 SYN47 SOR47 SEV47 RUZ47 RLD47 RBH47 QRL47 QHP47 PXT47 PNX47 PEB47 OUF47 OKJ47 OAN47 NQR47 NGV47 MWZ47 MND47 MDH47 LTL47 LJP47 KZT47 KPX47 KGB47 JWF47 JMJ47 JCN47 ISR47 IIV47 HYZ47 HPD47 HFH47 GVL47 GLP47 GBT47 FRX47 FIB47 EYF47 EOJ47 EEN47 DUR47 DKV47 DAZ47 CRD47 CHH47 BXL47 BNP47 BDT47 ATX47 AKB47 AAF47 QJ47 GN47 WSZ50 WJD50 VZH50 VPL50 VFP50 UVT50 ULX50 UCB50 TSF50 TIJ50 SYN50 SOR50 SEV50 RUZ50 RLD50 RBH50 QRL50 QHP50 PXT50 PNX50 PEB50 OUF50 OKJ50 OAN50 NQR50 NGV50 MWZ50 MND50 MDH50 LTL50 LJP50 KZT50 KPX50 KGB50 JWF50 JMJ50 JCN50 ISR50 IIV50 HYZ50 HPD50 HFH50 GVL50 GLP50 GBT50 FRX50 FIB50 EYF50 EOJ50 EEN50 DUR50 DKV50 DAZ50 CRD50 CHH50 BXL50 BNP50 BDT50 ATX50 AKB50 AAF50 QJ50 GN50">
      <formula1>TF_START_YEAR_LIST</formula1>
    </dataValidation>
    <dataValidation type="list" showInputMessage="1" showErrorMessage="1" errorTitle="Внимание" error="Пожалуйста, выберите значение из списка" sqref="WTC47 WJG47 VZK47 VPO47 VFS47 UVW47 UMA47 UCE47 TSI47 TIM47 SYQ47 SOU47 SEY47 RVC47 RLG47 RBK47 QRO47 QHS47 PXW47 POA47 PEE47 OUI47 OKM47 OAQ47 NQU47 NGY47 MXC47 MNG47 MDK47 LTO47 LJS47 KZW47 KQA47 KGE47 JWI47 JMM47 JCQ47 ISU47 IIY47 HZC47 HPG47 HFK47 GVO47 GLS47 GBW47 FSA47 FIE47 EYI47 EOM47 EEQ47 DUU47 DKY47 DBC47 CRG47 CHK47 BXO47 BNS47 BDW47 AUA47 AKE47 AAI47 QM47 GQ47 WTC50 WJG50 VZK50 VPO50 VFS50 UVW50 UMA50 UCE50 TSI50 TIM50 SYQ50 SOU50 SEY50 RVC50 RLG50 RBK50 QRO50 QHS50 PXW50 POA50 PEE50 OUI50 OKM50 OAQ50 NQU50 NGY50 MXC50 MNG50 MDK50 LTO50 LJS50 KZW50 KQA50 KGE50 JWI50 JMM50 JCQ50 ISU50 IIY50 HZC50 HPG50 HFK50 GVO50 GLS50 GBW50 FSA50 FIE50 EYI50 EOM50 EEQ50 DUU50 DKY50 DBC50 CRG50 CHK50 BXO50 BNS50 BDW50 AUA50 AKE50 AAI50 QM50 GQ50">
      <formula1>TF_END_YEAR_LIST</formula1>
    </dataValidation>
    <dataValidation type="list" allowBlank="1" showInputMessage="1" showErrorMessage="1" errorTitle="Внимание" error="Пожалуйста, выберите значение из списка!" sqref="WUA47 WKE47 WAI47 VQM47 VGQ47 UWU47 UMY47 UDC47 TTG47 TJK47 SZO47 SPS47 SFW47 RWA47 RME47 RCI47 QSM47 QIQ47 PYU47 POY47 PFC47 OVG47 OLK47 OBO47 NRS47 NHW47 MYA47 MOE47 MEI47 LUM47 LKQ47 LAU47 KQY47 KHC47 JXG47 JNK47 JDO47 ITS47 IJW47 IAA47 HQE47 HGI47 GWM47 GMQ47 GCU47 FSY47 FJC47 EZG47 EPK47 EFO47 DVS47 DLW47 DCA47 CSE47 CII47 BYM47 BOQ47 BEU47 AUY47 ALC47 ABG47 RK47 HO47 WTU47 WJY47 WAC47 VQG47 VGK47 UWO47 UMS47 UCW47 TTA47 TJE47 SZI47 SPM47 SFQ47 RVU47 RLY47 RCC47 QSG47 QIK47 PYO47 POS47 PEW47 OVA47 OLE47 OBI47 NRM47 NHQ47 MXU47 MNY47 MEC47 LUG47 LKK47 LAO47 KQS47 KGW47 JXA47 JNE47 JDI47 ITM47 IJQ47 HZU47 HPY47 HGC47 GWG47 GMK47 GCO47 FSS47 FIW47 EZA47 EPE47 EFI47 DVM47 DLQ47 DBU47 CRY47 CIC47 BYG47 BOK47 BEO47 AUS47 AKW47 ABA47 RE47 HI47 WUG47 WKK47 WAO47 VQS47 VGW47 UXA47 UNE47 UDI47 TTM47 TJQ47 SZU47 SPY47 SGC47 RWG47 RMK47 RCO47 QSS47 QIW47 PZA47 PPE47 PFI47 OVM47 OLQ47 OBU47 NRY47 NIC47 MYG47 MOK47 MEO47 LUS47 LKW47 LBA47 KRE47 KHI47 JXM47 JNQ47 JDU47 ITY47 IKC47 IAG47 HQK47 HGO47 GWS47 GMW47 GDA47 FTE47 FJI47 EZM47 EPQ47 EFU47 DVY47 DMC47 DCG47 CSK47 CIO47 BYS47 BOW47 BFA47 AVE47 ALI47 ABM47 RQ47 HU47 WUA50 WKE50 WAI50 VQM50 VGQ50 UWU50 UMY50 UDC50 TTG50 TJK50 SZO50 SPS50 SFW50 RWA50 RME50 RCI50 QSM50 QIQ50 PYU50 POY50 PFC50 OVG50 OLK50 OBO50 NRS50 NHW50 MYA50 MOE50 MEI50 LUM50 LKQ50 LAU50 KQY50 KHC50 JXG50 JNK50 JDO50 ITS50 IJW50 IAA50 HQE50 HGI50 GWM50 GMQ50 GCU50 FSY50 FJC50 EZG50 EPK50 EFO50 DVS50 DLW50 DCA50 CSE50 CII50 BYM50 BOQ50 BEU50 AUY50 ALC50 ABG50 RK50 HO50 WTU50 WJY50 WAC50 VQG50 VGK50 UWO50 UMS50 UCW50 TTA50 TJE50 SZI50 SPM50 SFQ50 RVU50 RLY50 RCC50 QSG50 QIK50 PYO50 POS50 PEW50 OVA50 OLE50 OBI50 NRM50 NHQ50 MXU50 MNY50 MEC50 LUG50 LKK50 LAO50 KQS50 KGW50 JXA50 JNE50 JDI50 ITM50 IJQ50 HZU50 HPY50 HGC50 GWG50 GMK50 GCO50 FSS50 FIW50 EZA50 EPE50 EFI50 DVM50 DLQ50 DBU50 CRY50 CIC50 BYG50 BOK50 BEO50 AUS50 AKW50 ABA50 RE50 HI50 WUG50 WKK50 WAO50 VQS50 VGW50 UXA50 UNE50 UDI50 TTM50 TJQ50 SZU50 SPY50 SGC50 RWG50 RMK50 RCO50 QSS50 QIW50 PZA50 PPE50 PFI50 OVM50 OLQ50 OBU50 NRY50 NIC50 MYG50 MOK50 MEO50 LUS50 LKW50 LBA50 KRE50 KHI50 JXM50 JNQ50 JDU50 ITY50 IKC50 IAG50 HQK50 HGO50 GWS50 GMW50 GDA50 FTE50 FJI50 EZM50 EPQ50 EFU50 DVY50 DMC50 DCG50 CSK50 CIO50 BYS50 BOW50 BFA50 AVE50 ALI50 ABM50 RQ50 HU50">
      <formula1>YES_NO</formula1>
    </dataValidation>
    <dataValidation type="list" showInputMessage="1" showErrorMessage="1" errorTitle="Внимание" error="Пожалуйста, выберите значение из списка" sqref="WSR47 WIV47 VYZ47 VPD47 VFH47 UVL47 ULP47 UBT47 TRX47 TIB47 SYF47 SOJ47 SEN47 RUR47 RKV47 RAZ47 QRD47 QHH47 PXL47 PNP47 PDT47 OTX47 OKB47 OAF47 NQJ47 NGN47 MWR47 MMV47 MCZ47 LTD47 LJH47 KZL47 KPP47 KFT47 JVX47 JMB47 JCF47 ISJ47 IIN47 HYR47 HOV47 HEZ47 GVD47 GLH47 GBL47 FRP47 FHT47 EXX47 EOB47 EEF47 DUJ47 DKN47 DAR47 CQV47 CGZ47 BXD47 BNH47 BDL47 ATP47 AJT47 ZX47 QB47 GF47 WSR50 WIV50 VYZ50 VPD50 VFH50 UVL50 ULP50 UBT50 TRX50 TIB50 SYF50 SOJ50 SEN50 RUR50 RKV50 RAZ50 QRD50 QHH50 PXL50 PNP50 PDT50 OTX50 OKB50 OAF50 NQJ50 NGN50 MWR50 MMV50 MCZ50 LTD50 LJH50 KZL50 KPP50 KFT50 JVX50 JMB50 JCF50 ISJ50 IIN50 HYR50 HOV50 HEZ50 GVD50 GLH50 GBL50 FRP50 FHT50 EXX50 EOB50 EEF50 DUJ50 DKN50 DAR50 CQV50 CGZ50 BXD50 BNH50 BDL50 ATP50 AJT50 ZX50 QB50 GF50">
      <formula1>YES_NO</formula1>
    </dataValidation>
    <dataValidation type="whole" allowBlank="1" showInputMessage="1" showErrorMessage="1" errorTitle="Внимание" error="Пожалуйста, укажите число!" sqref="WTB47 WJF47 VZJ47 VPN47 VFR47 UVV47 ULZ47 UCD47 TSH47 TIL47 SYP47 SOT47 SEX47 RVB47 RLF47 RBJ47 QRN47 QHR47 PXV47 PNZ47 PED47 OUH47 OKL47 OAP47 NQT47 NGX47 MXB47 MNF47 MDJ47 LTN47 LJR47 KZV47 KPZ47 KGD47 JWH47 JML47 JCP47 IST47 IIX47 HZB47 HPF47 HFJ47 GVN47 GLR47 GBV47 FRZ47 FID47 EYH47 EOL47 EEP47 DUT47 DKX47 DBB47 CRF47 CHJ47 BXN47 BNR47 BDV47 ATZ47 AKD47 AAH47 QL47 GP47 WTE47 WJI47 VZM47 VPQ47 VFU47 UVY47 UMC47 UCG47 TSK47 TIO47 SYS47 SOW47 SFA47 RVE47 RLI47 RBM47 QRQ47 QHU47 PXY47 POC47 PEG47 OUK47 OKO47 OAS47 NQW47 NHA47 MXE47 MNI47 MDM47 LTQ47 LJU47 KZY47 KQC47 KGG47 JWK47 JMO47 JCS47 ISW47 IJA47 HZE47 HPI47 HFM47 GVQ47 GLU47 GBY47 FSC47 FIG47 EYK47 EOO47 EES47 DUW47 DLA47 DBE47 CRI47 CHM47 BXQ47 BNU47 BDY47 AUC47 AKG47 AAK47 QO47 GS47 WTB50 WJF50 VZJ50 VPN50 VFR50 UVV50 ULZ50 UCD50 TSH50 TIL50 SYP50 SOT50 SEX50 RVB50 RLF50 RBJ50 QRN50 QHR50 PXV50 PNZ50 PED50 OUH50 OKL50 OAP50 NQT50 NGX50 MXB50 MNF50 MDJ50 LTN50 LJR50 KZV50 KPZ50 KGD50 JWH50 JML50 JCP50 IST50 IIX50 HZB50 HPF50 HFJ50 GVN50 GLR50 GBV50 FRZ50 FID50 EYH50 EOL50 EEP50 DUT50 DKX50 DBB50 CRF50 CHJ50 BXN50 BNR50 BDV50 ATZ50 AKD50 AAH50 QL50 GP50 WTE50 WJI50 VZM50 VPQ50 VFU50 UVY50 UMC50 UCG50 TSK50 TIO50 SYS50 SOW50 SFA50 RVE50 RLI50 RBM50 QRQ50 QHU50 PXY50 POC50 PEG50 OUK50 OKO50 OAS50 NQW50 NHA50 MXE50 MNI50 MDM50 LTQ50 LJU50 KZY50 KQC50 KGG50 JWK50 JMO50 JCS50 ISW50 IJA50 HZE50 HPI50 HFM50 GVQ50 GLU50 GBY50 FSC50 FIG50 EYK50 EOO50 EES50 DUW50 DLA50 DBE50 CRI50 CHM50 BXQ50 BNU50 BDY50 AUC50 AKG50 AAK50 QO50 GS50">
      <formula1>1</formula1>
      <formula2>31</formula2>
    </dataValidation>
    <dataValidation type="list" showInputMessage="1" showErrorMessage="1" errorTitle="Внимание" error="Пожалуйста, выберите значение из списка" sqref="WTA47 WJE47 VZI47 VPM47 VFQ47 UVU47 ULY47 UCC47 TSG47 TIK47 SYO47 SOS47 SEW47 RVA47 RLE47 RBI47 QRM47 QHQ47 PXU47 PNY47 PEC47 OUG47 OKK47 OAO47 NQS47 NGW47 MXA47 MNE47 MDI47 LTM47 LJQ47 KZU47 KPY47 KGC47 JWG47 JMK47 JCO47 ISS47 IIW47 HZA47 HPE47 HFI47 GVM47 GLQ47 GBU47 FRY47 FIC47 EYG47 EOK47 EEO47 DUS47 DKW47 DBA47 CRE47 CHI47 BXM47 BNQ47 BDU47 ATY47 AKC47 AAG47 QK47 GO47 WTD47 WJH47 VZL47 VPP47 VFT47 UVX47 UMB47 UCF47 TSJ47 TIN47 SYR47 SOV47 SEZ47 RVD47 RLH47 RBL47 QRP47 QHT47 PXX47 POB47 PEF47 OUJ47 OKN47 OAR47 NQV47 NGZ47 MXD47 MNH47 MDL47 LTP47 LJT47 KZX47 KQB47 KGF47 JWJ47 JMN47 JCR47 ISV47 IIZ47 HZD47 HPH47 HFL47 GVP47 GLT47 GBX47 FSB47 FIF47 EYJ47 EON47 EER47 DUV47 DKZ47 DBD47 CRH47 CHL47 BXP47 BNT47 BDX47 AUB47 AKF47 AAJ47 QN47 GR47 WTA50 WJE50 VZI50 VPM50 VFQ50 UVU50 ULY50 UCC50 TSG50 TIK50 SYO50 SOS50 SEW50 RVA50 RLE50 RBI50 QRM50 QHQ50 PXU50 PNY50 PEC50 OUG50 OKK50 OAO50 NQS50 NGW50 MXA50 MNE50 MDI50 LTM50 LJQ50 KZU50 KPY50 KGC50 JWG50 JMK50 JCO50 ISS50 IIW50 HZA50 HPE50 HFI50 GVM50 GLQ50 GBU50 FRY50 FIC50 EYG50 EOK50 EEO50 DUS50 DKW50 DBA50 CRE50 CHI50 BXM50 BNQ50 BDU50 ATY50 AKC50 AAG50 QK50 GO50 WTD50 WJH50 VZL50 VPP50 VFT50 UVX50 UMB50 UCF50 TSJ50 TIN50 SYR50 SOV50 SEZ50 RVD50 RLH50 RBL50 QRP50 QHT50 PXX50 POB50 PEF50 OUJ50 OKN50 OAR50 NQV50 NGZ50 MXD50 MNH50 MDL50 LTP50 LJT50 KZX50 KQB50 KGF50 JWJ50 JMN50 JCR50 ISV50 IIZ50 HZD50 HPH50 HFL50 GVP50 GLT50 GBX50 FSB50 FIF50 EYJ50 EON50 EER50 DUV50 DKZ50 DBD50 CRH50 CHL50 BXP50 BNT50 BDX50 AUB50 AKF50 AAJ50 QN50 GR50">
      <formula1>MONTH_LIST</formula1>
    </dataValidation>
    <dataValidation type="list" allowBlank="1" showInputMessage="1" showErrorMessage="1" errorTitle="Внимание" error="Пожалуйста, выберите МР из списка!" sqref="WQE47 WGI47 VWM47 VMQ47 VCU47 USY47 UJC47 TZG47 TPK47 TFO47 SVS47 SLW47 SCA47 RSE47 RII47 QYM47 QOQ47 QEU47 PUY47 PLC47 PBG47 ORK47 OHO47 NXS47 NNW47 NEA47 MUE47 MKI47 MAM47 LQQ47 LGU47 KWY47 KNC47 KDG47 JTK47 JJO47 IZS47 IPW47 IGA47 HWE47 HMI47 HCM47 GSQ47 GIU47 FYY47 FPC47 FFG47 EVK47 ELO47 EBS47 DRW47 DIA47 CYE47 COI47 CEM47 BUQ47 BKU47 BAY47 ARC47 AHG47 XK47 NO47 DS47 M47 WQE50 WGI50 VWM50 VMQ50 VCU50 USY50 UJC50 TZG50 TPK50 TFO50 SVS50 SLW50 SCA50 RSE50 RII50 QYM50 QOQ50 QEU50 PUY50 PLC50 PBG50 ORK50 OHO50 NXS50 NNW50 NEA50 MUE50 MKI50 MAM50 LQQ50 LGU50 KWY50 KNC50 KDG50 JTK50 JJO50 IZS50 IPW50 IGA50 HWE50 HMI50 HCM50 GSQ50 GIU50 FYY50 FPC50 FFG50 EVK50 ELO50 EBS50 DRW50 DIA50 CYE50 COI50 CEM50 BUQ50 BKU50 BAY50 ARC50 AHG50 XK50 NO50 DS50 M50">
      <formula1>MR_LIST</formula1>
    </dataValidation>
    <dataValidation type="list" showInputMessage="1" showErrorMessage="1" errorTitle="Внимание" error="Пожалуйста, выберите значение из списка" sqref="WUC47 WKG47 WAK47 VQO47 VGS47 UWW47 UNA47 UDE47 TTI47 TJM47 SZQ47 SPU47 SFY47 RWC47 RMG47 RCK47 QSO47 QIS47 PYW47 PPA47 PFE47 OVI47 OLM47 OBQ47 NRU47 NHY47 MYC47 MOG47 MEK47 LUO47 LKS47 LAW47 KRA47 KHE47 JXI47 JNM47 JDQ47 ITU47 IJY47 IAC47 HQG47 HGK47 GWO47 GMS47 GCW47 FTA47 FJE47 EZI47 EPM47 EFQ47 DVU47 DLY47 DCC47 CSG47 CIK47 BYO47 BOS47 BEW47 AVA47 ALE47 ABI47 RM47 HQ47 WUC50 WKG50 WAK50 VQO50 VGS50 UWW50 UNA50 UDE50 TTI50 TJM50 SZQ50 SPU50 SFY50 RWC50 RMG50 RCK50 QSO50 QIS50 PYW50 PPA50 PFE50 OVI50 OLM50 OBQ50 NRU50 NHY50 MYC50 MOG50 MEK50 LUO50 LKS50 LAW50 KRA50 KHE50 JXI50 JNM50 JDQ50 ITU50 IJY50 IAC50 HQG50 HGK50 GWO50 GMS50 GCW50 FTA50 FJE50 EZI50 EPM50 EFQ50 DVU50 DLY50 DCC50 CSG50 CIK50 BYO50 BOS50 BEW50 AVA50 ALE50 ABI50 RM50 HQ50">
      <formula1>DOCUMENT_TYPES</formula1>
    </dataValidation>
    <dataValidation type="list" showInputMessage="1" showErrorMessage="1" errorTitle="Внимание" error="Пожалуйста, выберите МО из списка" sqref="WQF47 WGJ47 VWN47 VMR47 VCV47 USZ47 UJD47 TZH47 TPL47 TFP47 SVT47 SLX47 SCB47 RSF47 RIJ47 QYN47 QOR47 QEV47 PUZ47 PLD47 PBH47 ORL47 OHP47 NXT47 NNX47 NEB47 MUF47 MKJ47 MAN47 LQR47 LGV47 KWZ47 KND47 KDH47 JTL47 JJP47 IZT47 IPX47 IGB47 HWF47 HMJ47 HCN47 GSR47 GIV47 FYZ47 FPD47 FFH47 EVL47 ELP47 EBT47 DRX47 DIB47 CYF47 COJ47 CEN47 BUR47 BKV47 BAZ47 ARD47 AHH47 XL47 NP47 DT47 DT50 WQF50 WGJ50 VWN50 VMR50 VCV50 USZ50 UJD50 TZH50 TPL50 TFP50 SVT50 SLX50 SCB50 RSF50 RIJ50 QYN50 QOR50 QEV50 PUZ50 PLD50 PBH50 ORL50 OHP50 NXT50 NNX50 NEB50 MUF50 MKJ50 MAN50 LQR50 LGV50 KWZ50 KND50 KDH50 JTL50 JJP50 IZT50 IPX50 IGB50 HWF50 HMJ50 HCN50 GSR50 GIV50 FYZ50 FPD50 FFH50 EVL50 ELP50 EBT50 DRX50 DIB50 CYF50 COJ50 CEN50 BUR50 BKV50 BAZ50 ARD50 AHH50 XL50 NP50">
      <formula1>MO_LIST_12</formula1>
    </dataValidation>
    <dataValidation type="list" allowBlank="1" showInputMessage="1" showErrorMessage="1" errorTitle="Ошибка" error="Выберите значение из списка" prompt="Выберите значение из списка" sqref="O73:Q73">
      <formula1>support_docs_1</formula1>
    </dataValidation>
    <dataValidation type="list" allowBlank="1" showInputMessage="1" showErrorMessage="1" errorTitle="Ошибка" error="Выберите значение из списка" prompt="Выберите значение из списка" sqref="N73">
      <formula1>osn_expl_list</formula1>
    </dataValidation>
    <dataValidation type="list" allowBlank="1" showInputMessage="1" showErrorMessage="1" errorTitle="Ошибка" error="Выберите значение из списка" prompt="Выберите значение из списка" sqref="M223 M216">
      <formula1>VOLTAGE_LEVEL_list</formula1>
    </dataValidation>
    <dataValidation allowBlank="1" showInputMessage="1" showErrorMessage="1" sqref="S353:AL353"/>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24 C31:C33 C38:C40">
      <formula1>1</formula1>
    </dataValidation>
    <dataValidation type="textLength" operator="lessThanOrEqual" allowBlank="1" showInputMessage="1" showErrorMessage="1" sqref="C37 C12 C21 C23 C28 C30 C35 C10">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64:R65 O55:R58">
      <formula1>0</formula1>
      <formula2>9.99999999999999E+23</formula2>
    </dataValidation>
    <dataValidation type="decimal" allowBlank="1" showErrorMessage="1" errorTitle="Ошибка" error="Допускается ввод только неотрицательных чисел!" sqref="O59:R59 O102:AL104 O106:AL109 O111:AL114 O118:AL120 O122:AL123 O126:AL127 O129:AL130 O138:AL139 EY627:EZ628 O147:AL148 O150:AL152 O156:AL157 O162:AL163 O165:AL166 O168:AL169 O132:AL134 O171:AL176 O178:AL181 O194:AL196 R400:V400 O225:AL225 O316:AL318 O292:AL296 O281:AL285 O275:AL279 O332:AL333 O263:AL267 O257:AL261 O251:AL255 O245:AL249 O239:AL243 FB627:FC628 O218:AL218 O72:R72 O205:AL205 O699:O748 Y86:AP93 S86:U93 O86:Q93 Y83:AP84 S83:U84 O83:Q84 O269:AL273 Y78:AP80 O185:AL186 O192:AL192 P399:R399 V399 O141:AL144 O344:AL351 O324:AL325 O320:AL321 O159:AL159 O328:AL329 O78:Q80 S78:U80 O216:AL216 O223:AL223 O233:AL233 O336:AL337 O188:AL190 O228:AL228 O647:O696 O66:R66 O230:AL231 O99:AL100 AO642:AP642 AL642:AM642 AI642:AJ642 AF642:AG642 AC642:AD642 Z642:AA642 W642:X642 T642:U642 Q642:R642 N642:O642 AO627:AP628 AL627:AM628 AI627:AJ628 AF627:AG628 AC627:AD628 Z627:AA628 W627:X628 T627:U628 Q627:R628 N627:O628 AO635:AP637 N616:O617 AI601:AJ602 AF601:AG602 AC601:AD602 Z601:AA602 W601:X602 T601:U602 Q601:R602 Q616:R617 N601:O602 Q607:R608 AL601:AM602 AI607:AJ608 AF607:AG608 AC607:AD608 Z607:AA608 W607:X608 T607:U608 AL610:AM611 N607:O608 AL607:AM608 AI610:AJ611 AF610:AG611 AC610:AD611 Z610:AA611 W610:X611 T610:U611 N610:O611 Q598:R599 AO610:AP611 N598:O599 AL598:AM599 AI598:AJ599 AF598:AG599 AC598:AD599 Z598:AA599 W598:X599 T598:U599 N619:O620 AL619:AM620 AI619:AJ620 AF619:AG620 AC619:AD620 Z619:AA620 W619:X620 T619:U620 AO619:AP620 AI604:AJ605 AF604:AG605 AC604:AD605 Z604:AA605 W604:X605 T604:U605 Q604:R605 N604:O605 AO604:AP605 N613:O614 AL613:AM614 AI613:AJ614 AF613:AG614 AC613:AD614 Z613:AA614 W613:X614 T613:U614 Q613:R614 T616:U617 W616:X617 Z616:AA617 AC616:AD617 AF616:AG617 AI616:AJ617 AL616:AM617 AO616:AP617 Q610:R611 AO601:AP602 AO607:AP608 AL604:AM605 AO598:AP599 AO613:AP614 FE627:FF628 Q619:R620 N632:O632 N639:O640 N635:O637 Q632:R632 Q639:R640 Q635:R637 T632:U632 T639:U640 T635:U637 W632:X632 W639:X640 W635:X637 Z632:AA632 Z639:AA640 Z635:AA637 AC632:AD632 AC639:AD640 AC635:AD637 AF632:AG632 AF639:AG640 AF635:AG637 AI632:AJ632 AI639:AJ640 AI635:AJ637 AL632:AM632 AL639:AM640 AL635:AM637 AO632:AP632 AO639:AP640 AR632:AS632 AU632:AV632 AX632:AY632 BA632:BB632 BD632:BE632 BG632:BH632 BJ632:BK632 BM632:BN632 BP632:BQ632 BS632:BT632 BV632:BW632 BY632:BZ632 CB632:CC632 CE632:CF632 CH632:CI632 CK632:CL632 CN632:CO632 CQ632:CR632 CT632:CU632 CW632:CX632 CZ632:DA632 DC632:DD632 DF632:DG632 DI632:DJ632 DL632:DM632 DO632:DP632 DR632:DS632 DU632:DV632 DX632:DY632 EA632:EB632 ED632:EE632 EG632:EH632 EJ632:EK632 EM632:EN632 EP632:EQ632 ES632:ET632 EV632:EW632 EY632:EZ632 FB632:FC632 FE632:FF632 AR635:AS637 AR639:AS640 AU635:AV637 AX635:AY637 BA635:BB637 BD635:BE637 BG635:BH637 BJ635:BK637 BM635:BN637 BP635:BQ637 BS635:BT637 BV635:BW637 BY635:BZ637 CB635:CC637 CE635:CF637 CH635:CI637 CK635:CL637 CN635:CO637 CQ635:CR637 CT635:CU637 CW635:CX637 CZ635:DA637 DC635:DD637 DF635:DG637 DI635:DJ637 DL635:DM637 DO635:DP637 DR635:DS637 DU635:DV637 DX635:DY637 EA635:EB637 ED635:EE637 EG635:EH637 EJ635:EK637 EM635:EN637 EP635:EQ637 ES635:ET637 EV635:EW637 EY635:EZ637 FB635:FC637 FE635:FF637 AU639:AV640 AX639:AY640 BA639:BB640 BD639:BE640 BG639:BH640 BJ639:BK640 BM639:BN640 BP639:BQ640 BS639:BT640 BV639:BW640 BY639:BZ640 CB639:CC640 CE639:CF640 CH639:CI640 CK639:CL640 CN639:CO640 CQ639:CR640 CT639:CU640 CW639:CX640 CZ639:DA640 DC639:DD640 DF639:DG640 DI639:DJ640 DL639:DM640 DO639:DP640 DR639:DS640 DU639:DV640 DX639:DY640 EA639:EB640 ED639:EE640 EG639:EH640 EJ639:EK640 EM639:EN640 EP639:EQ640 ES639:ET640 EV639:EW640 EY639:EZ640 FB639:FC640 FE639:FF640 AR642:AS642 AU642:AV642 AX642:AY642 BA642:BB642 BD642:BE642 BG642:BH642 BJ642:BK642 BM642:BN642 BP642:BQ642 BS642:BT642 BV642:BW642 BY642:BZ642 CB642:CC642 CE642:CF642 CH642:CI642 CK642:CL642 CN642:CO642 CQ642:CR642 CT642:CU642 CW642:CX642 CZ642:DA642 DC642:DD642 DF642:DG642 DI642:DJ642 DL642:DM642 DO642:DP642 DR642:DS642 DU642:DV642 DX642:DY642 EA642:EB642 ED642:EE642 EG642:EH642 EJ642:EK642 EM642:EN642 EP642:EQ642 ES642:ET642 EV642:EW642 EY642:EZ642 FB642:FC642 FE642:FF642 AR610:AS611 AR619:AS620 AR604:AS605 AR616:AS617 AR601:AS602 AR607:AS608 AR598:AS599 AR613:AS614 AU610:AV611 AX610:AY611 BA610:BB611 BD610:BE611 BG610:BH611 BJ610:BK611 BM610:BN611 BP610:BQ611 BS610:BT611 BV610:BW611 BY610:BZ611 CB610:CC611 CE610:CF611 CH610:CI611 CK610:CL611 CN610:CO611 CQ610:CR611 CT610:CU611 CW610:CX611 CZ610:DA611 DC610:DD611 DF610:DG611 DI610:DJ611 DL610:DM611 DO610:DP611 DR610:DS611 DU610:DV611 DX610:DY611 EA610:EB611 ED610:EE611 EG610:EH611 EJ610:EK611 EM610:EN611 EP610:EQ611 ES610:ET611 EV610:EW611 EY610:EZ611 FB610:FC611 FE610:FF611 AU619:AV620 AX619:AY620 BA619:BB620 BD619:BE620 BG619:BH620 BJ619:BK620 BM619:BN620 BP619:BQ620 BS619:BT620 BV619:BW620 BY619:BZ620 CB619:CC620 CE619:CF620 CH619:CI620 CK619:CL620 CN619:CO620 CQ619:CR620 CT619:CU620 CW619:CX620 CZ619:DA620 DC619:DD620 DF619:DG620 DI619:DJ620 DL619:DM620 DO619:DP620 DR619:DS620 DU619:DV620 DX619:DY620 EA619:EB620 ED619:EE620 EG619:EH620 EJ619:EK620 EM619:EN620 EP619:EQ620 ES619:ET620 EV619:EW620 EY619:EZ620 FB619:FC620 FE619:FF620 AU604:AV605 AX604:AY605 BA604:BB605 BD604:BE605 BG604:BH605 BJ604:BK605 BM604:BN605 BP604:BQ605 BS604:BT605 BV604:BW605 BY604:BZ605 CB604:CC605 CE604:CF605 CH604:CI605 CK604:CL605 CN604:CO605 CQ604:CR605 CT604:CU605 CW604:CX605 CZ604:DA605 DC604:DD605 DF604:DG605 DI604:DJ605 DL604:DM605 DO604:DP605 DR604:DS605 DU604:DV605 DX604:DY605 EA604:EB605 ED604:EE605 EG604:EH605 EJ604:EK605 EM604:EN605 EP604:EQ605 ES604:ET605 EV604:EW605 EY604:EZ605 FB604:FC605 FE604:FF605 AU616:AV617 AX616:AY617 BA616:BB617 BD616:BE617 BG616:BH617 BJ616:BK617 BM616:BN617 BP616:BQ617 BS616:BT617 BV616:BW617 BY616:BZ617 CB616:CC617 CE616:CF617 CH616:CI617 CK616:CL617 CN616:CO617 CQ616:CR617 CT616:CU617 CW616:CX617 CZ616:DA617 DC616:DD617 DF616:DG617 DI616:DJ617 DL616:DM617 DO616:DP617 DR616:DS617 DU616:DV617 DX616:DY617 EA616:EB617 ED616:EE617 EG616:EH617 EJ616:EK617 EM616:EN617 EP616:EQ617 ES616:ET617 EV616:EW617 EY616:EZ617 FB616:FC617 FE616:FF617 AU601:AV602 AX601:AY602 BA601:BB602 BD601:BE602 BG601:BH602 BJ601:BK602 BM601:BN602 BP601:BQ602 BS601:BT602 BV601:BW602 BY601:BZ602 CB601:CC602 CE601:CF602 CH601:CI602 CK601:CL602 CN601:CO602 CQ601:CR602 CT601:CU602 CW601:CX602 CZ601:DA602 DC601:DD602 DF601:DG602 DI601:DJ602 DL601:DM602 DO601:DP602 DR601:DS602 DU601:DV602 DX601:DY602 EA601:EB602 ED601:EE602 EG601:EH602 EJ601:EK602 EM601:EN602 EP601:EQ602 ES601:ET602 EV601:EW602 EY601:EZ602 FB601:FC602 FE601:FF602 AU607:AV608 AX607:AY608 BA607:BB608 BD607:BE608 BG607:BH608 BJ607:BK608 BM607:BN608 BP607:BQ608 BS607:BT608 BV607:BW608 BY607:BZ608 CB607:CC608 CE607:CF608 CH607:CI608 CK607:CL608 CN607:CO608 CQ607:CR608 CT607:CU608 CW607:CX608 CZ607:DA608 DC607:DD608 DF607:DG608 DI607:DJ608 DL607:DM608 DO607:DP608 DR607:DS608 DU607:DV608 DX607:DY608 EA607:EB608 ED607:EE608 EG607:EH608 EJ607:EK608 EM607:EN608 EP607:EQ608 ES607:ET608 EV607:EW608 EY607:EZ608 FB607:FC608 FE607:FF608 AU598:AV599 AX598:AY599 BA598:BB599 BD598:BE599 BG598:BH599 BJ598:BK599 BM598:BN599 BP598:BQ599 BS598:BT599 BV598:BW599 BY598:BZ599 CB598:CC599 CE598:CF599 CH598:CI599 CK598:CL599 CN598:CO599 CQ598:CR599 CT598:CU599 CW598:CX599 CZ598:DA599 DC598:DD599 DF598:DG599 DI598:DJ599 DL598:DM599 DO598:DP599 DR598:DS599 DU598:DV599 DX598:DY599 EA598:EB599 ED598:EE599 EG598:EH599 EJ598:EK599 EM598:EN599 EP598:EQ599 ES598:ET599 EV598:EW599 EY598:EZ599 FB598:FC599 FE598:FF599 AU613:AV614 AX613:AY614 BA613:BB614 BD613:BE614 BG613:BH614 BJ613:BK614 BM613:BN614 BP613:BQ614 BS613:BT614 BV613:BW614 BY613:BZ614 CB613:CC614 CE613:CF614 CH613:CI614 CK613:CL614 CN613:CO614 CQ613:CR614 CT613:CU614 CW613:CX614 CZ613:DA614 DC613:DD614 DF613:DG614 DI613:DJ614 DL613:DM614 DO613:DP614 DR613:DS614 DU613:DV614 DX613:DY614 EA613:EB614 ED613:EE614 EG613:EH614 EJ613:EK614 EM613:EN614 EP613:EQ614 ES613:ET614 EV613:EW614 EY613:EZ614 FB613:FC614 FE613:FF614 AR627:AS628 AU627:AV628 AX627:AY628 BA627:BB628 BD627:BE628 BG627:BH628 BJ627:BK628 BM627:BN628 BP627:BQ628 BS627:BT628 BV627:BW628 BY627:BZ628 CB627:CC628 CE627:CF628 CH627:CI628 CK627:CL628 CN627:CO628 CQ627:CR628 CT627:CU628 CW627:CX628 CZ627:DA628 DC627:DD628 DF627:DG628 DI627:DJ628 DL627:DM628 DO627:DP628 DR627:DS628 DU627:DV628 DX627:DY628 EA627:EB628 ED627:EE628 EG627:EH628 EJ627:EK628 EM627:EN628 EP627:EQ628 ES627:ET628 EV627:EW628 M753:U753 M756:U805">
      <formula1>0</formula1>
      <formula2>9.99999999999999E+23</formula2>
    </dataValidation>
    <dataValidation type="decimal" allowBlank="1" showErrorMessage="1" errorTitle="Ошибка" error="Допускается ввод только действительных чисел!" sqref="O543:Q558 S479:AM485 O522:Q522 P411:Q420 S573:AM576 P435:Q447 O389:AH391 S533:AM535 O533:Q535 O525:Q525 O527:Q531 S527:AM531 O399:O400 S509:AM510 O509:Q510 O578:Q578 T487:AM498 T472:AM476 O363:AN366 O381:AN383 O376:AN379 O372:AN374 O368:AN370 S525:AM525 S522:AM522 P422:Q432 AD499:AE499 O573:Q576 O462:Q462 O464:Q470 O456:Q458 S456:AM458 O472:Q475 O460:Q460 T460:AM462 O489:Q498 O487:Q487 S565:AM570 O479:Q485 S487 O453:Q453 S453 P408:Q408 P406:Q406 S543:AM558 O562:Q563 S562:AM563 O565:Q570 T499 S464:AM470 S462 S472:S475 S460 S489:S498 S578:AN578">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AM201 AM205 AM210:AM214 AM223:AM225 AX578:AZ578 AM238:AM285 AM290:AM296 AM301 AM304 AM307 AM310 AM316:AM318 AM320:AM322 AM324:AM326 AM328:AM330 AM343:AM352 X78:X80 AM356 AO361:AO383 AI388:AI394 R86:R93 X86:X93 R83:R84 X83:X84 AM336:AM338 R78:R80 AM216:AM218 AM313 AM332:AM334 AM227:AM233 AX452:AZ500 AX502:AZ576">
      <formula1>900</formula1>
    </dataValidation>
    <dataValidation type="list" allowBlank="1" showInputMessage="1" showErrorMessage="1" errorTitle="Ошибка" error="Выберите значение из списка" prompt="Выберите значение из списка" sqref="M227">
      <formula1>VOLTAGE_LEVEL2_list</formula1>
    </dataValidation>
    <dataValidation type="list" operator="lessThanOrEqual" showDropDown="1" showInputMessage="1" showErrorMessage="1" sqref="C17 C25">
      <formula1>"FAS_URL"</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22 H29 H36">
      <formula1>DOCUMENT_TYPES</formula1>
    </dataValidation>
    <dataValidation type="list" operator="lessThanOrEqual" showDropDown="1" sqref="C9">
      <formula1>dpr_list</formula1>
    </dataValidation>
  </dataValidations>
  <pageMargins left="0.75" right="0.75" top="1" bottom="1" header="0.5" footer="0.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eload">
    <tabColor rgb="FFFFCC99"/>
  </sheetPr>
  <dimension ref="A1"/>
  <sheetViews>
    <sheetView workbookViewId="0"/>
  </sheetViews>
  <sheetFormatPr defaultRowHeight="11.4"/>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FG40"/>
  <sheetViews>
    <sheetView showGridLines="0" view="pageBreakPreview" topLeftCell="L12" zoomScale="70" zoomScaleNormal="100" zoomScaleSheetLayoutView="70" workbookViewId="0">
      <selection activeCell="L42" sqref="L42:AQ42"/>
    </sheetView>
  </sheetViews>
  <sheetFormatPr defaultColWidth="9.125" defaultRowHeight="11.4"/>
  <cols>
    <col min="1" max="5" width="2.75" style="291" hidden="1" customWidth="1"/>
    <col min="6" max="6" width="8.375" style="291" hidden="1" customWidth="1"/>
    <col min="7" max="7" width="12.875" style="291" hidden="1" customWidth="1"/>
    <col min="8" max="10" width="2.75" style="291" hidden="1" customWidth="1"/>
    <col min="11" max="11" width="3.75" style="291" hidden="1" customWidth="1"/>
    <col min="12" max="12" width="56.75" style="290" customWidth="1"/>
    <col min="13" max="13" width="13.25" style="293" customWidth="1"/>
    <col min="14" max="16" width="14.875" style="291" customWidth="1"/>
    <col min="17" max="43" width="14.875" style="291" hidden="1" customWidth="1"/>
    <col min="44" max="163" width="14.875" style="509" hidden="1" customWidth="1"/>
    <col min="164" max="16384" width="9.125" style="291"/>
  </cols>
  <sheetData>
    <row r="1" spans="1:163" hidden="1">
      <c r="A1" s="911"/>
      <c r="B1" s="911"/>
      <c r="C1" s="911"/>
      <c r="D1" s="911"/>
      <c r="E1" s="911"/>
      <c r="F1" s="911"/>
      <c r="G1" s="911"/>
      <c r="H1" s="911"/>
      <c r="I1" s="911"/>
      <c r="J1" s="911"/>
      <c r="K1" s="911"/>
      <c r="L1" s="988"/>
      <c r="M1" s="989"/>
      <c r="N1" s="911">
        <v>2024</v>
      </c>
      <c r="O1" s="911">
        <v>2024</v>
      </c>
      <c r="P1" s="911">
        <v>2024</v>
      </c>
      <c r="Q1" s="911">
        <v>2025</v>
      </c>
      <c r="R1" s="911">
        <v>2025</v>
      </c>
      <c r="S1" s="911">
        <v>2025</v>
      </c>
      <c r="T1" s="911">
        <v>2026</v>
      </c>
      <c r="U1" s="911">
        <v>2026</v>
      </c>
      <c r="V1" s="911">
        <v>2026</v>
      </c>
      <c r="W1" s="911">
        <v>2027</v>
      </c>
      <c r="X1" s="911">
        <v>2027</v>
      </c>
      <c r="Y1" s="911">
        <v>2027</v>
      </c>
      <c r="Z1" s="911">
        <v>2028</v>
      </c>
      <c r="AA1" s="911">
        <v>2028</v>
      </c>
      <c r="AB1" s="911">
        <v>2028</v>
      </c>
      <c r="AC1" s="911">
        <v>2029</v>
      </c>
      <c r="AD1" s="911">
        <v>2029</v>
      </c>
      <c r="AE1" s="911">
        <v>2029</v>
      </c>
      <c r="AF1" s="911">
        <v>2030</v>
      </c>
      <c r="AG1" s="911">
        <v>2030</v>
      </c>
      <c r="AH1" s="911">
        <v>2030</v>
      </c>
      <c r="AI1" s="911">
        <v>2031</v>
      </c>
      <c r="AJ1" s="911">
        <v>2031</v>
      </c>
      <c r="AK1" s="911">
        <v>2031</v>
      </c>
      <c r="AL1" s="911">
        <v>2032</v>
      </c>
      <c r="AM1" s="911">
        <v>2032</v>
      </c>
      <c r="AN1" s="911">
        <v>2032</v>
      </c>
      <c r="AO1" s="911">
        <v>2033</v>
      </c>
      <c r="AP1" s="911">
        <v>2033</v>
      </c>
      <c r="AQ1" s="911">
        <v>2033</v>
      </c>
      <c r="AR1" s="911">
        <v>2034</v>
      </c>
      <c r="AS1" s="911">
        <v>2034</v>
      </c>
      <c r="AT1" s="911">
        <v>2034</v>
      </c>
      <c r="AU1" s="911">
        <v>2035</v>
      </c>
      <c r="AV1" s="911">
        <v>2035</v>
      </c>
      <c r="AW1" s="911">
        <v>2035</v>
      </c>
      <c r="AX1" s="911">
        <v>2036</v>
      </c>
      <c r="AY1" s="911">
        <v>2036</v>
      </c>
      <c r="AZ1" s="911">
        <v>2036</v>
      </c>
      <c r="BA1" s="911">
        <v>2037</v>
      </c>
      <c r="BB1" s="911">
        <v>2037</v>
      </c>
      <c r="BC1" s="911">
        <v>2037</v>
      </c>
      <c r="BD1" s="911">
        <v>2038</v>
      </c>
      <c r="BE1" s="911">
        <v>2038</v>
      </c>
      <c r="BF1" s="911">
        <v>2038</v>
      </c>
      <c r="BG1" s="911">
        <v>2039</v>
      </c>
      <c r="BH1" s="911">
        <v>2039</v>
      </c>
      <c r="BI1" s="911">
        <v>2039</v>
      </c>
      <c r="BJ1" s="911">
        <v>2040</v>
      </c>
      <c r="BK1" s="911">
        <v>2040</v>
      </c>
      <c r="BL1" s="911">
        <v>2040</v>
      </c>
      <c r="BM1" s="911">
        <v>2041</v>
      </c>
      <c r="BN1" s="911">
        <v>2041</v>
      </c>
      <c r="BO1" s="911">
        <v>2041</v>
      </c>
      <c r="BP1" s="911">
        <v>2042</v>
      </c>
      <c r="BQ1" s="911">
        <v>2042</v>
      </c>
      <c r="BR1" s="911">
        <v>2042</v>
      </c>
      <c r="BS1" s="911">
        <v>2043</v>
      </c>
      <c r="BT1" s="911">
        <v>2043</v>
      </c>
      <c r="BU1" s="911">
        <v>2043</v>
      </c>
      <c r="BV1" s="911">
        <v>2044</v>
      </c>
      <c r="BW1" s="911">
        <v>2044</v>
      </c>
      <c r="BX1" s="911">
        <v>2044</v>
      </c>
      <c r="BY1" s="911">
        <v>2045</v>
      </c>
      <c r="BZ1" s="911">
        <v>2045</v>
      </c>
      <c r="CA1" s="911">
        <v>2045</v>
      </c>
      <c r="CB1" s="911">
        <v>2046</v>
      </c>
      <c r="CC1" s="911">
        <v>2046</v>
      </c>
      <c r="CD1" s="911">
        <v>2046</v>
      </c>
      <c r="CE1" s="911">
        <v>2047</v>
      </c>
      <c r="CF1" s="911">
        <v>2047</v>
      </c>
      <c r="CG1" s="911">
        <v>2047</v>
      </c>
      <c r="CH1" s="911">
        <v>2048</v>
      </c>
      <c r="CI1" s="911">
        <v>2048</v>
      </c>
      <c r="CJ1" s="911">
        <v>2048</v>
      </c>
      <c r="CK1" s="911">
        <v>2049</v>
      </c>
      <c r="CL1" s="911">
        <v>2049</v>
      </c>
      <c r="CM1" s="911">
        <v>2049</v>
      </c>
      <c r="CN1" s="911">
        <v>2050</v>
      </c>
      <c r="CO1" s="911">
        <v>2050</v>
      </c>
      <c r="CP1" s="911">
        <v>2050</v>
      </c>
      <c r="CQ1" s="911">
        <v>2051</v>
      </c>
      <c r="CR1" s="911">
        <v>2051</v>
      </c>
      <c r="CS1" s="911">
        <v>2051</v>
      </c>
      <c r="CT1" s="911">
        <v>2052</v>
      </c>
      <c r="CU1" s="911">
        <v>2052</v>
      </c>
      <c r="CV1" s="911">
        <v>2052</v>
      </c>
      <c r="CW1" s="911">
        <v>2053</v>
      </c>
      <c r="CX1" s="911">
        <v>2053</v>
      </c>
      <c r="CY1" s="911">
        <v>2053</v>
      </c>
      <c r="CZ1" s="911">
        <v>2054</v>
      </c>
      <c r="DA1" s="911">
        <v>2054</v>
      </c>
      <c r="DB1" s="911">
        <v>2054</v>
      </c>
      <c r="DC1" s="911">
        <v>2055</v>
      </c>
      <c r="DD1" s="911">
        <v>2055</v>
      </c>
      <c r="DE1" s="911">
        <v>2055</v>
      </c>
      <c r="DF1" s="911">
        <v>2056</v>
      </c>
      <c r="DG1" s="911">
        <v>2056</v>
      </c>
      <c r="DH1" s="911">
        <v>2056</v>
      </c>
      <c r="DI1" s="911">
        <v>2057</v>
      </c>
      <c r="DJ1" s="911">
        <v>2057</v>
      </c>
      <c r="DK1" s="911">
        <v>2057</v>
      </c>
      <c r="DL1" s="911">
        <v>2058</v>
      </c>
      <c r="DM1" s="911">
        <v>2058</v>
      </c>
      <c r="DN1" s="911">
        <v>2058</v>
      </c>
      <c r="DO1" s="911">
        <v>2059</v>
      </c>
      <c r="DP1" s="911">
        <v>2059</v>
      </c>
      <c r="DQ1" s="911">
        <v>2059</v>
      </c>
      <c r="DR1" s="911">
        <v>2060</v>
      </c>
      <c r="DS1" s="911">
        <v>2060</v>
      </c>
      <c r="DT1" s="911">
        <v>2060</v>
      </c>
      <c r="DU1" s="911">
        <v>2061</v>
      </c>
      <c r="DV1" s="911">
        <v>2061</v>
      </c>
      <c r="DW1" s="911">
        <v>2061</v>
      </c>
      <c r="DX1" s="911">
        <v>2062</v>
      </c>
      <c r="DY1" s="911">
        <v>2062</v>
      </c>
      <c r="DZ1" s="911">
        <v>2062</v>
      </c>
      <c r="EA1" s="911">
        <v>2063</v>
      </c>
      <c r="EB1" s="911">
        <v>2063</v>
      </c>
      <c r="EC1" s="911">
        <v>2063</v>
      </c>
      <c r="ED1" s="911">
        <v>2064</v>
      </c>
      <c r="EE1" s="911">
        <v>2064</v>
      </c>
      <c r="EF1" s="911">
        <v>2064</v>
      </c>
      <c r="EG1" s="911">
        <v>2065</v>
      </c>
      <c r="EH1" s="911">
        <v>2065</v>
      </c>
      <c r="EI1" s="911">
        <v>2065</v>
      </c>
      <c r="EJ1" s="911">
        <v>2066</v>
      </c>
      <c r="EK1" s="911">
        <v>2066</v>
      </c>
      <c r="EL1" s="911">
        <v>2066</v>
      </c>
      <c r="EM1" s="911">
        <v>2067</v>
      </c>
      <c r="EN1" s="911">
        <v>2067</v>
      </c>
      <c r="EO1" s="911">
        <v>2067</v>
      </c>
      <c r="EP1" s="911">
        <v>2068</v>
      </c>
      <c r="EQ1" s="911">
        <v>2068</v>
      </c>
      <c r="ER1" s="911">
        <v>2068</v>
      </c>
      <c r="ES1" s="911">
        <v>2069</v>
      </c>
      <c r="ET1" s="911">
        <v>2069</v>
      </c>
      <c r="EU1" s="911">
        <v>2069</v>
      </c>
      <c r="EV1" s="911">
        <v>2070</v>
      </c>
      <c r="EW1" s="911">
        <v>2070</v>
      </c>
      <c r="EX1" s="911">
        <v>2070</v>
      </c>
      <c r="EY1" s="911">
        <v>2071</v>
      </c>
      <c r="EZ1" s="911">
        <v>2071</v>
      </c>
      <c r="FA1" s="911">
        <v>2071</v>
      </c>
      <c r="FB1" s="911">
        <v>2072</v>
      </c>
      <c r="FC1" s="911">
        <v>2072</v>
      </c>
      <c r="FD1" s="911">
        <v>2072</v>
      </c>
      <c r="FE1" s="911">
        <v>2073</v>
      </c>
      <c r="FF1" s="911">
        <v>2073</v>
      </c>
      <c r="FG1" s="911">
        <v>2073</v>
      </c>
    </row>
    <row r="2" spans="1:163" hidden="1">
      <c r="A2" s="911"/>
      <c r="B2" s="911"/>
      <c r="C2" s="911"/>
      <c r="D2" s="911"/>
      <c r="E2" s="911"/>
      <c r="F2" s="911"/>
      <c r="G2" s="911"/>
      <c r="H2" s="911"/>
      <c r="I2" s="911"/>
      <c r="J2" s="911"/>
      <c r="K2" s="911"/>
      <c r="L2" s="988"/>
      <c r="M2" s="989"/>
      <c r="N2" s="911" t="s">
        <v>269</v>
      </c>
      <c r="O2" s="911" t="s">
        <v>268</v>
      </c>
      <c r="P2" s="911" t="s">
        <v>1300</v>
      </c>
      <c r="Q2" s="911" t="s">
        <v>269</v>
      </c>
      <c r="R2" s="911" t="s">
        <v>268</v>
      </c>
      <c r="S2" s="911" t="s">
        <v>1300</v>
      </c>
      <c r="T2" s="911" t="s">
        <v>269</v>
      </c>
      <c r="U2" s="911" t="s">
        <v>268</v>
      </c>
      <c r="V2" s="911" t="s">
        <v>1300</v>
      </c>
      <c r="W2" s="911" t="s">
        <v>269</v>
      </c>
      <c r="X2" s="911" t="s">
        <v>268</v>
      </c>
      <c r="Y2" s="911" t="s">
        <v>1300</v>
      </c>
      <c r="Z2" s="911" t="s">
        <v>269</v>
      </c>
      <c r="AA2" s="911" t="s">
        <v>268</v>
      </c>
      <c r="AB2" s="911" t="s">
        <v>1300</v>
      </c>
      <c r="AC2" s="911" t="s">
        <v>269</v>
      </c>
      <c r="AD2" s="911" t="s">
        <v>268</v>
      </c>
      <c r="AE2" s="911" t="s">
        <v>1300</v>
      </c>
      <c r="AF2" s="911" t="s">
        <v>269</v>
      </c>
      <c r="AG2" s="911" t="s">
        <v>268</v>
      </c>
      <c r="AH2" s="911" t="s">
        <v>1300</v>
      </c>
      <c r="AI2" s="911" t="s">
        <v>269</v>
      </c>
      <c r="AJ2" s="911" t="s">
        <v>268</v>
      </c>
      <c r="AK2" s="911" t="s">
        <v>1300</v>
      </c>
      <c r="AL2" s="911" t="s">
        <v>269</v>
      </c>
      <c r="AM2" s="911" t="s">
        <v>268</v>
      </c>
      <c r="AN2" s="911" t="s">
        <v>1300</v>
      </c>
      <c r="AO2" s="911" t="s">
        <v>269</v>
      </c>
      <c r="AP2" s="911" t="s">
        <v>268</v>
      </c>
      <c r="AQ2" s="911" t="s">
        <v>1300</v>
      </c>
      <c r="AR2" s="911" t="s">
        <v>269</v>
      </c>
      <c r="AS2" s="911" t="s">
        <v>268</v>
      </c>
      <c r="AT2" s="911" t="s">
        <v>1300</v>
      </c>
      <c r="AU2" s="911" t="s">
        <v>269</v>
      </c>
      <c r="AV2" s="911" t="s">
        <v>268</v>
      </c>
      <c r="AW2" s="911" t="s">
        <v>1300</v>
      </c>
      <c r="AX2" s="911" t="s">
        <v>269</v>
      </c>
      <c r="AY2" s="911" t="s">
        <v>268</v>
      </c>
      <c r="AZ2" s="911" t="s">
        <v>1300</v>
      </c>
      <c r="BA2" s="911" t="s">
        <v>269</v>
      </c>
      <c r="BB2" s="911" t="s">
        <v>268</v>
      </c>
      <c r="BC2" s="911" t="s">
        <v>1300</v>
      </c>
      <c r="BD2" s="911" t="s">
        <v>269</v>
      </c>
      <c r="BE2" s="911" t="s">
        <v>268</v>
      </c>
      <c r="BF2" s="911" t="s">
        <v>1300</v>
      </c>
      <c r="BG2" s="911" t="s">
        <v>269</v>
      </c>
      <c r="BH2" s="911" t="s">
        <v>268</v>
      </c>
      <c r="BI2" s="911" t="s">
        <v>1300</v>
      </c>
      <c r="BJ2" s="911" t="s">
        <v>269</v>
      </c>
      <c r="BK2" s="911" t="s">
        <v>268</v>
      </c>
      <c r="BL2" s="911" t="s">
        <v>1300</v>
      </c>
      <c r="BM2" s="911" t="s">
        <v>269</v>
      </c>
      <c r="BN2" s="911" t="s">
        <v>268</v>
      </c>
      <c r="BO2" s="911" t="s">
        <v>1300</v>
      </c>
      <c r="BP2" s="911" t="s">
        <v>269</v>
      </c>
      <c r="BQ2" s="911" t="s">
        <v>268</v>
      </c>
      <c r="BR2" s="911" t="s">
        <v>1300</v>
      </c>
      <c r="BS2" s="911" t="s">
        <v>269</v>
      </c>
      <c r="BT2" s="911" t="s">
        <v>268</v>
      </c>
      <c r="BU2" s="911" t="s">
        <v>1300</v>
      </c>
      <c r="BV2" s="911" t="s">
        <v>269</v>
      </c>
      <c r="BW2" s="911" t="s">
        <v>268</v>
      </c>
      <c r="BX2" s="911" t="s">
        <v>1300</v>
      </c>
      <c r="BY2" s="911" t="s">
        <v>269</v>
      </c>
      <c r="BZ2" s="911" t="s">
        <v>268</v>
      </c>
      <c r="CA2" s="911" t="s">
        <v>1300</v>
      </c>
      <c r="CB2" s="911" t="s">
        <v>269</v>
      </c>
      <c r="CC2" s="911" t="s">
        <v>268</v>
      </c>
      <c r="CD2" s="911" t="s">
        <v>1300</v>
      </c>
      <c r="CE2" s="911" t="s">
        <v>269</v>
      </c>
      <c r="CF2" s="911" t="s">
        <v>268</v>
      </c>
      <c r="CG2" s="911" t="s">
        <v>1300</v>
      </c>
      <c r="CH2" s="911" t="s">
        <v>269</v>
      </c>
      <c r="CI2" s="911" t="s">
        <v>268</v>
      </c>
      <c r="CJ2" s="911" t="s">
        <v>1300</v>
      </c>
      <c r="CK2" s="911" t="s">
        <v>269</v>
      </c>
      <c r="CL2" s="911" t="s">
        <v>268</v>
      </c>
      <c r="CM2" s="911" t="s">
        <v>1300</v>
      </c>
      <c r="CN2" s="911" t="s">
        <v>269</v>
      </c>
      <c r="CO2" s="911" t="s">
        <v>268</v>
      </c>
      <c r="CP2" s="911" t="s">
        <v>1300</v>
      </c>
      <c r="CQ2" s="911" t="s">
        <v>269</v>
      </c>
      <c r="CR2" s="911" t="s">
        <v>268</v>
      </c>
      <c r="CS2" s="911" t="s">
        <v>1300</v>
      </c>
      <c r="CT2" s="911" t="s">
        <v>269</v>
      </c>
      <c r="CU2" s="911" t="s">
        <v>268</v>
      </c>
      <c r="CV2" s="911" t="s">
        <v>1300</v>
      </c>
      <c r="CW2" s="911" t="s">
        <v>269</v>
      </c>
      <c r="CX2" s="911" t="s">
        <v>268</v>
      </c>
      <c r="CY2" s="911" t="s">
        <v>1300</v>
      </c>
      <c r="CZ2" s="911" t="s">
        <v>269</v>
      </c>
      <c r="DA2" s="911" t="s">
        <v>268</v>
      </c>
      <c r="DB2" s="911" t="s">
        <v>1300</v>
      </c>
      <c r="DC2" s="911" t="s">
        <v>269</v>
      </c>
      <c r="DD2" s="911" t="s">
        <v>268</v>
      </c>
      <c r="DE2" s="911" t="s">
        <v>1300</v>
      </c>
      <c r="DF2" s="911" t="s">
        <v>269</v>
      </c>
      <c r="DG2" s="911" t="s">
        <v>268</v>
      </c>
      <c r="DH2" s="911" t="s">
        <v>1300</v>
      </c>
      <c r="DI2" s="911" t="s">
        <v>269</v>
      </c>
      <c r="DJ2" s="911" t="s">
        <v>268</v>
      </c>
      <c r="DK2" s="911" t="s">
        <v>1300</v>
      </c>
      <c r="DL2" s="911" t="s">
        <v>269</v>
      </c>
      <c r="DM2" s="911" t="s">
        <v>268</v>
      </c>
      <c r="DN2" s="911" t="s">
        <v>1300</v>
      </c>
      <c r="DO2" s="911" t="s">
        <v>269</v>
      </c>
      <c r="DP2" s="911" t="s">
        <v>268</v>
      </c>
      <c r="DQ2" s="911" t="s">
        <v>1300</v>
      </c>
      <c r="DR2" s="911" t="s">
        <v>269</v>
      </c>
      <c r="DS2" s="911" t="s">
        <v>268</v>
      </c>
      <c r="DT2" s="911" t="s">
        <v>1300</v>
      </c>
      <c r="DU2" s="911" t="s">
        <v>269</v>
      </c>
      <c r="DV2" s="911" t="s">
        <v>268</v>
      </c>
      <c r="DW2" s="911" t="s">
        <v>1300</v>
      </c>
      <c r="DX2" s="911" t="s">
        <v>269</v>
      </c>
      <c r="DY2" s="911" t="s">
        <v>268</v>
      </c>
      <c r="DZ2" s="911" t="s">
        <v>1300</v>
      </c>
      <c r="EA2" s="911" t="s">
        <v>269</v>
      </c>
      <c r="EB2" s="911" t="s">
        <v>268</v>
      </c>
      <c r="EC2" s="911" t="s">
        <v>1300</v>
      </c>
      <c r="ED2" s="911" t="s">
        <v>269</v>
      </c>
      <c r="EE2" s="911" t="s">
        <v>268</v>
      </c>
      <c r="EF2" s="911" t="s">
        <v>1300</v>
      </c>
      <c r="EG2" s="911" t="s">
        <v>269</v>
      </c>
      <c r="EH2" s="911" t="s">
        <v>268</v>
      </c>
      <c r="EI2" s="911" t="s">
        <v>1300</v>
      </c>
      <c r="EJ2" s="911" t="s">
        <v>269</v>
      </c>
      <c r="EK2" s="911" t="s">
        <v>268</v>
      </c>
      <c r="EL2" s="911" t="s">
        <v>1300</v>
      </c>
      <c r="EM2" s="911" t="s">
        <v>269</v>
      </c>
      <c r="EN2" s="911" t="s">
        <v>268</v>
      </c>
      <c r="EO2" s="911" t="s">
        <v>1300</v>
      </c>
      <c r="EP2" s="911" t="s">
        <v>269</v>
      </c>
      <c r="EQ2" s="911" t="s">
        <v>268</v>
      </c>
      <c r="ER2" s="911" t="s">
        <v>1300</v>
      </c>
      <c r="ES2" s="911" t="s">
        <v>269</v>
      </c>
      <c r="ET2" s="911" t="s">
        <v>268</v>
      </c>
      <c r="EU2" s="911" t="s">
        <v>1300</v>
      </c>
      <c r="EV2" s="911" t="s">
        <v>269</v>
      </c>
      <c r="EW2" s="911" t="s">
        <v>268</v>
      </c>
      <c r="EX2" s="911" t="s">
        <v>1300</v>
      </c>
      <c r="EY2" s="911" t="s">
        <v>269</v>
      </c>
      <c r="EZ2" s="911" t="s">
        <v>268</v>
      </c>
      <c r="FA2" s="911" t="s">
        <v>1300</v>
      </c>
      <c r="FB2" s="911" t="s">
        <v>269</v>
      </c>
      <c r="FC2" s="911" t="s">
        <v>268</v>
      </c>
      <c r="FD2" s="911" t="s">
        <v>1300</v>
      </c>
      <c r="FE2" s="911" t="s">
        <v>269</v>
      </c>
      <c r="FF2" s="911" t="s">
        <v>268</v>
      </c>
      <c r="FG2" s="911" t="s">
        <v>1300</v>
      </c>
    </row>
    <row r="3" spans="1:163" hidden="1">
      <c r="A3" s="911"/>
      <c r="B3" s="911"/>
      <c r="C3" s="911"/>
      <c r="D3" s="911"/>
      <c r="E3" s="911"/>
      <c r="F3" s="911"/>
      <c r="G3" s="911"/>
      <c r="H3" s="911"/>
      <c r="I3" s="911"/>
      <c r="J3" s="911"/>
      <c r="K3" s="911"/>
      <c r="L3" s="988"/>
      <c r="M3" s="989"/>
      <c r="N3" s="911" t="s">
        <v>3023</v>
      </c>
      <c r="O3" s="911" t="s">
        <v>3024</v>
      </c>
      <c r="P3" s="911" t="s">
        <v>3073</v>
      </c>
      <c r="Q3" s="911" t="s">
        <v>3028</v>
      </c>
      <c r="R3" s="911" t="s">
        <v>3029</v>
      </c>
      <c r="S3" s="911" t="s">
        <v>3074</v>
      </c>
      <c r="T3" s="911" t="s">
        <v>3030</v>
      </c>
      <c r="U3" s="911" t="s">
        <v>3031</v>
      </c>
      <c r="V3" s="911" t="s">
        <v>3075</v>
      </c>
      <c r="W3" s="911" t="s">
        <v>3032</v>
      </c>
      <c r="X3" s="911" t="s">
        <v>3033</v>
      </c>
      <c r="Y3" s="911" t="s">
        <v>3076</v>
      </c>
      <c r="Z3" s="911" t="s">
        <v>3034</v>
      </c>
      <c r="AA3" s="911" t="s">
        <v>3035</v>
      </c>
      <c r="AB3" s="911" t="s">
        <v>3077</v>
      </c>
      <c r="AC3" s="911" t="s">
        <v>3036</v>
      </c>
      <c r="AD3" s="911" t="s">
        <v>3037</v>
      </c>
      <c r="AE3" s="911" t="s">
        <v>3078</v>
      </c>
      <c r="AF3" s="911" t="s">
        <v>3038</v>
      </c>
      <c r="AG3" s="911" t="s">
        <v>3039</v>
      </c>
      <c r="AH3" s="911" t="s">
        <v>3079</v>
      </c>
      <c r="AI3" s="911" t="s">
        <v>3040</v>
      </c>
      <c r="AJ3" s="911" t="s">
        <v>3041</v>
      </c>
      <c r="AK3" s="911" t="s">
        <v>3080</v>
      </c>
      <c r="AL3" s="911" t="s">
        <v>3042</v>
      </c>
      <c r="AM3" s="911" t="s">
        <v>3043</v>
      </c>
      <c r="AN3" s="911" t="s">
        <v>3081</v>
      </c>
      <c r="AO3" s="911" t="s">
        <v>3044</v>
      </c>
      <c r="AP3" s="911" t="s">
        <v>3045</v>
      </c>
      <c r="AQ3" s="911" t="s">
        <v>3082</v>
      </c>
      <c r="AR3" s="911" t="s">
        <v>3083</v>
      </c>
      <c r="AS3" s="911" t="s">
        <v>3084</v>
      </c>
      <c r="AT3" s="911" t="s">
        <v>3085</v>
      </c>
      <c r="AU3" s="911" t="s">
        <v>3086</v>
      </c>
      <c r="AV3" s="911" t="s">
        <v>3087</v>
      </c>
      <c r="AW3" s="911" t="s">
        <v>3088</v>
      </c>
      <c r="AX3" s="911" t="s">
        <v>3089</v>
      </c>
      <c r="AY3" s="911" t="s">
        <v>3090</v>
      </c>
      <c r="AZ3" s="911" t="s">
        <v>3091</v>
      </c>
      <c r="BA3" s="911" t="s">
        <v>3092</v>
      </c>
      <c r="BB3" s="911" t="s">
        <v>3093</v>
      </c>
      <c r="BC3" s="911" t="s">
        <v>3094</v>
      </c>
      <c r="BD3" s="911" t="s">
        <v>3095</v>
      </c>
      <c r="BE3" s="911" t="s">
        <v>3096</v>
      </c>
      <c r="BF3" s="911" t="s">
        <v>3097</v>
      </c>
      <c r="BG3" s="911" t="s">
        <v>3098</v>
      </c>
      <c r="BH3" s="911" t="s">
        <v>3099</v>
      </c>
      <c r="BI3" s="911" t="s">
        <v>3100</v>
      </c>
      <c r="BJ3" s="911" t="s">
        <v>3101</v>
      </c>
      <c r="BK3" s="911" t="s">
        <v>3102</v>
      </c>
      <c r="BL3" s="911" t="s">
        <v>3103</v>
      </c>
      <c r="BM3" s="911" t="s">
        <v>3104</v>
      </c>
      <c r="BN3" s="911" t="s">
        <v>3105</v>
      </c>
      <c r="BO3" s="911" t="s">
        <v>3106</v>
      </c>
      <c r="BP3" s="911" t="s">
        <v>3107</v>
      </c>
      <c r="BQ3" s="911" t="s">
        <v>3108</v>
      </c>
      <c r="BR3" s="911" t="s">
        <v>3109</v>
      </c>
      <c r="BS3" s="911" t="s">
        <v>3110</v>
      </c>
      <c r="BT3" s="911" t="s">
        <v>3111</v>
      </c>
      <c r="BU3" s="911" t="s">
        <v>3112</v>
      </c>
      <c r="BV3" s="911" t="s">
        <v>3113</v>
      </c>
      <c r="BW3" s="911" t="s">
        <v>3114</v>
      </c>
      <c r="BX3" s="911" t="s">
        <v>3115</v>
      </c>
      <c r="BY3" s="911" t="s">
        <v>3116</v>
      </c>
      <c r="BZ3" s="911" t="s">
        <v>3117</v>
      </c>
      <c r="CA3" s="911" t="s">
        <v>3118</v>
      </c>
      <c r="CB3" s="911" t="s">
        <v>3119</v>
      </c>
      <c r="CC3" s="911" t="s">
        <v>3120</v>
      </c>
      <c r="CD3" s="911" t="s">
        <v>3121</v>
      </c>
      <c r="CE3" s="911" t="s">
        <v>3122</v>
      </c>
      <c r="CF3" s="911" t="s">
        <v>3123</v>
      </c>
      <c r="CG3" s="911" t="s">
        <v>3124</v>
      </c>
      <c r="CH3" s="911" t="s">
        <v>3125</v>
      </c>
      <c r="CI3" s="911" t="s">
        <v>3126</v>
      </c>
      <c r="CJ3" s="911" t="s">
        <v>3127</v>
      </c>
      <c r="CK3" s="911" t="s">
        <v>3128</v>
      </c>
      <c r="CL3" s="911" t="s">
        <v>3129</v>
      </c>
      <c r="CM3" s="911" t="s">
        <v>3130</v>
      </c>
      <c r="CN3" s="911" t="s">
        <v>3131</v>
      </c>
      <c r="CO3" s="911" t="s">
        <v>3132</v>
      </c>
      <c r="CP3" s="911" t="s">
        <v>3133</v>
      </c>
      <c r="CQ3" s="911" t="s">
        <v>3134</v>
      </c>
      <c r="CR3" s="911" t="s">
        <v>3135</v>
      </c>
      <c r="CS3" s="911" t="s">
        <v>3136</v>
      </c>
      <c r="CT3" s="911" t="s">
        <v>3137</v>
      </c>
      <c r="CU3" s="911" t="s">
        <v>3138</v>
      </c>
      <c r="CV3" s="911" t="s">
        <v>3139</v>
      </c>
      <c r="CW3" s="911" t="s">
        <v>3140</v>
      </c>
      <c r="CX3" s="911" t="s">
        <v>3141</v>
      </c>
      <c r="CY3" s="911" t="s">
        <v>3142</v>
      </c>
      <c r="CZ3" s="911" t="s">
        <v>3143</v>
      </c>
      <c r="DA3" s="911" t="s">
        <v>3144</v>
      </c>
      <c r="DB3" s="911" t="s">
        <v>3145</v>
      </c>
      <c r="DC3" s="911" t="s">
        <v>3146</v>
      </c>
      <c r="DD3" s="911" t="s">
        <v>3147</v>
      </c>
      <c r="DE3" s="911" t="s">
        <v>3148</v>
      </c>
      <c r="DF3" s="911" t="s">
        <v>3149</v>
      </c>
      <c r="DG3" s="911" t="s">
        <v>3150</v>
      </c>
      <c r="DH3" s="911" t="s">
        <v>3151</v>
      </c>
      <c r="DI3" s="911" t="s">
        <v>3152</v>
      </c>
      <c r="DJ3" s="911" t="s">
        <v>3153</v>
      </c>
      <c r="DK3" s="911" t="s">
        <v>3154</v>
      </c>
      <c r="DL3" s="911" t="s">
        <v>3155</v>
      </c>
      <c r="DM3" s="911" t="s">
        <v>3156</v>
      </c>
      <c r="DN3" s="911" t="s">
        <v>3157</v>
      </c>
      <c r="DO3" s="911" t="s">
        <v>3158</v>
      </c>
      <c r="DP3" s="911" t="s">
        <v>3159</v>
      </c>
      <c r="DQ3" s="911" t="s">
        <v>3160</v>
      </c>
      <c r="DR3" s="911" t="s">
        <v>3161</v>
      </c>
      <c r="DS3" s="911" t="s">
        <v>3162</v>
      </c>
      <c r="DT3" s="911" t="s">
        <v>3163</v>
      </c>
      <c r="DU3" s="911" t="s">
        <v>3164</v>
      </c>
      <c r="DV3" s="911" t="s">
        <v>3165</v>
      </c>
      <c r="DW3" s="911" t="s">
        <v>3166</v>
      </c>
      <c r="DX3" s="911" t="s">
        <v>3167</v>
      </c>
      <c r="DY3" s="911" t="s">
        <v>3168</v>
      </c>
      <c r="DZ3" s="911" t="s">
        <v>3169</v>
      </c>
      <c r="EA3" s="911" t="s">
        <v>3170</v>
      </c>
      <c r="EB3" s="911" t="s">
        <v>3171</v>
      </c>
      <c r="EC3" s="911" t="s">
        <v>3172</v>
      </c>
      <c r="ED3" s="911" t="s">
        <v>3173</v>
      </c>
      <c r="EE3" s="911" t="s">
        <v>3174</v>
      </c>
      <c r="EF3" s="911" t="s">
        <v>3175</v>
      </c>
      <c r="EG3" s="911" t="s">
        <v>3176</v>
      </c>
      <c r="EH3" s="911" t="s">
        <v>3177</v>
      </c>
      <c r="EI3" s="911" t="s">
        <v>3178</v>
      </c>
      <c r="EJ3" s="911" t="s">
        <v>3179</v>
      </c>
      <c r="EK3" s="911" t="s">
        <v>3180</v>
      </c>
      <c r="EL3" s="911" t="s">
        <v>3181</v>
      </c>
      <c r="EM3" s="911" t="s">
        <v>3182</v>
      </c>
      <c r="EN3" s="911" t="s">
        <v>3183</v>
      </c>
      <c r="EO3" s="911" t="s">
        <v>3184</v>
      </c>
      <c r="EP3" s="911" t="s">
        <v>3185</v>
      </c>
      <c r="EQ3" s="911" t="s">
        <v>3186</v>
      </c>
      <c r="ER3" s="911" t="s">
        <v>3187</v>
      </c>
      <c r="ES3" s="911" t="s">
        <v>3188</v>
      </c>
      <c r="ET3" s="911" t="s">
        <v>3189</v>
      </c>
      <c r="EU3" s="911" t="s">
        <v>3190</v>
      </c>
      <c r="EV3" s="911" t="s">
        <v>3191</v>
      </c>
      <c r="EW3" s="911" t="s">
        <v>3192</v>
      </c>
      <c r="EX3" s="911" t="s">
        <v>3193</v>
      </c>
      <c r="EY3" s="911" t="s">
        <v>3194</v>
      </c>
      <c r="EZ3" s="911" t="s">
        <v>3195</v>
      </c>
      <c r="FA3" s="911" t="s">
        <v>3196</v>
      </c>
      <c r="FB3" s="911" t="s">
        <v>3197</v>
      </c>
      <c r="FC3" s="911" t="s">
        <v>3198</v>
      </c>
      <c r="FD3" s="911" t="s">
        <v>3199</v>
      </c>
      <c r="FE3" s="911" t="s">
        <v>3200</v>
      </c>
      <c r="FF3" s="911" t="s">
        <v>3201</v>
      </c>
      <c r="FG3" s="911" t="s">
        <v>3202</v>
      </c>
    </row>
    <row r="4" spans="1:163" hidden="1">
      <c r="A4" s="911"/>
      <c r="B4" s="911"/>
      <c r="C4" s="911"/>
      <c r="D4" s="911"/>
      <c r="E4" s="911"/>
      <c r="F4" s="911"/>
      <c r="G4" s="911"/>
      <c r="H4" s="911"/>
      <c r="I4" s="911"/>
      <c r="J4" s="911"/>
      <c r="K4" s="911"/>
      <c r="L4" s="988"/>
      <c r="M4" s="989"/>
      <c r="N4" s="911"/>
      <c r="O4" s="911"/>
      <c r="P4" s="911"/>
      <c r="Q4" s="911"/>
      <c r="R4" s="911"/>
      <c r="S4" s="911"/>
      <c r="T4" s="911"/>
      <c r="U4" s="911"/>
      <c r="V4" s="911"/>
      <c r="W4" s="911"/>
      <c r="X4" s="911"/>
      <c r="Y4" s="911"/>
      <c r="Z4" s="911"/>
      <c r="AA4" s="911"/>
      <c r="AB4" s="911"/>
      <c r="AC4" s="911"/>
      <c r="AD4" s="911"/>
      <c r="AE4" s="911"/>
      <c r="AF4" s="911"/>
      <c r="AG4" s="911"/>
      <c r="AH4" s="911"/>
      <c r="AI4" s="911"/>
      <c r="AJ4" s="911"/>
      <c r="AK4" s="911"/>
      <c r="AL4" s="911"/>
      <c r="AM4" s="911"/>
      <c r="AN4" s="911"/>
      <c r="AO4" s="911"/>
      <c r="AP4" s="911"/>
      <c r="AQ4" s="911"/>
      <c r="AR4" s="911"/>
      <c r="AS4" s="911"/>
      <c r="AT4" s="911"/>
      <c r="AU4" s="911"/>
      <c r="AV4" s="911"/>
      <c r="AW4" s="911"/>
      <c r="AX4" s="911"/>
      <c r="AY4" s="911"/>
      <c r="AZ4" s="911"/>
      <c r="BA4" s="911"/>
      <c r="BB4" s="911"/>
      <c r="BC4" s="911"/>
      <c r="BD4" s="911"/>
      <c r="BE4" s="911"/>
      <c r="BF4" s="911"/>
      <c r="BG4" s="911"/>
      <c r="BH4" s="911"/>
      <c r="BI4" s="911"/>
      <c r="BJ4" s="911"/>
      <c r="BK4" s="911"/>
      <c r="BL4" s="911"/>
      <c r="BM4" s="911"/>
      <c r="BN4" s="911"/>
      <c r="BO4" s="911"/>
      <c r="BP4" s="911"/>
      <c r="BQ4" s="911"/>
      <c r="BR4" s="911"/>
      <c r="BS4" s="911"/>
      <c r="BT4" s="911"/>
      <c r="BU4" s="911"/>
      <c r="BV4" s="911"/>
      <c r="BW4" s="911"/>
      <c r="BX4" s="911"/>
      <c r="BY4" s="911"/>
      <c r="BZ4" s="911"/>
      <c r="CA4" s="911"/>
      <c r="CB4" s="911"/>
      <c r="CC4" s="911"/>
      <c r="CD4" s="911"/>
      <c r="CE4" s="911"/>
      <c r="CF4" s="911"/>
      <c r="CG4" s="911"/>
      <c r="CH4" s="911"/>
      <c r="CI4" s="911"/>
      <c r="CJ4" s="911"/>
      <c r="CK4" s="911"/>
      <c r="CL4" s="911"/>
      <c r="CM4" s="911"/>
      <c r="CN4" s="911"/>
      <c r="CO4" s="911"/>
      <c r="CP4" s="911"/>
      <c r="CQ4" s="911"/>
      <c r="CR4" s="911"/>
      <c r="CS4" s="911"/>
      <c r="CT4" s="911"/>
      <c r="CU4" s="911"/>
      <c r="CV4" s="911"/>
      <c r="CW4" s="911"/>
      <c r="CX4" s="911"/>
      <c r="CY4" s="911"/>
      <c r="CZ4" s="911"/>
      <c r="DA4" s="911"/>
      <c r="DB4" s="911"/>
      <c r="DC4" s="911"/>
      <c r="DD4" s="911"/>
      <c r="DE4" s="911"/>
      <c r="DF4" s="911"/>
      <c r="DG4" s="911"/>
      <c r="DH4" s="911"/>
      <c r="DI4" s="911"/>
      <c r="DJ4" s="911"/>
      <c r="DK4" s="911"/>
      <c r="DL4" s="911"/>
      <c r="DM4" s="911"/>
      <c r="DN4" s="911"/>
      <c r="DO4" s="911"/>
      <c r="DP4" s="911"/>
      <c r="DQ4" s="911"/>
      <c r="DR4" s="911"/>
      <c r="DS4" s="911"/>
      <c r="DT4" s="911"/>
      <c r="DU4" s="911"/>
      <c r="DV4" s="911"/>
      <c r="DW4" s="911"/>
      <c r="DX4" s="911"/>
      <c r="DY4" s="911"/>
      <c r="DZ4" s="911"/>
      <c r="EA4" s="911"/>
      <c r="EB4" s="911"/>
      <c r="EC4" s="911"/>
      <c r="ED4" s="911"/>
      <c r="EE4" s="911"/>
      <c r="EF4" s="911"/>
      <c r="EG4" s="911"/>
      <c r="EH4" s="911"/>
      <c r="EI4" s="911"/>
      <c r="EJ4" s="911"/>
      <c r="EK4" s="911"/>
      <c r="EL4" s="911"/>
      <c r="EM4" s="911"/>
      <c r="EN4" s="911"/>
      <c r="EO4" s="911"/>
      <c r="EP4" s="911"/>
      <c r="EQ4" s="911"/>
      <c r="ER4" s="911"/>
      <c r="ES4" s="911"/>
      <c r="ET4" s="911"/>
      <c r="EU4" s="911"/>
      <c r="EV4" s="911"/>
      <c r="EW4" s="911"/>
      <c r="EX4" s="911"/>
      <c r="EY4" s="911"/>
      <c r="EZ4" s="911"/>
      <c r="FA4" s="911"/>
      <c r="FB4" s="911"/>
      <c r="FC4" s="911"/>
      <c r="FD4" s="911"/>
      <c r="FE4" s="911"/>
      <c r="FF4" s="911"/>
      <c r="FG4" s="911"/>
    </row>
    <row r="5" spans="1:163" hidden="1">
      <c r="A5" s="911"/>
      <c r="B5" s="911"/>
      <c r="C5" s="911"/>
      <c r="D5" s="911"/>
      <c r="E5" s="911"/>
      <c r="F5" s="911"/>
      <c r="G5" s="911"/>
      <c r="H5" s="911"/>
      <c r="I5" s="911"/>
      <c r="J5" s="911"/>
      <c r="K5" s="911"/>
      <c r="L5" s="988"/>
      <c r="M5" s="989"/>
      <c r="N5" s="911"/>
      <c r="O5" s="911"/>
      <c r="P5" s="911"/>
      <c r="Q5" s="911"/>
      <c r="R5" s="911"/>
      <c r="S5" s="911"/>
      <c r="T5" s="911"/>
      <c r="U5" s="911"/>
      <c r="V5" s="911"/>
      <c r="W5" s="911"/>
      <c r="X5" s="911"/>
      <c r="Y5" s="911"/>
      <c r="Z5" s="911"/>
      <c r="AA5" s="911"/>
      <c r="AB5" s="911"/>
      <c r="AC5" s="911"/>
      <c r="AD5" s="911"/>
      <c r="AE5" s="911"/>
      <c r="AF5" s="911"/>
      <c r="AG5" s="911"/>
      <c r="AH5" s="911"/>
      <c r="AI5" s="911"/>
      <c r="AJ5" s="911"/>
      <c r="AK5" s="911"/>
      <c r="AL5" s="911"/>
      <c r="AM5" s="911"/>
      <c r="AN5" s="911"/>
      <c r="AO5" s="911"/>
      <c r="AP5" s="911"/>
      <c r="AQ5" s="911"/>
      <c r="AR5" s="911"/>
      <c r="AS5" s="911"/>
      <c r="AT5" s="911"/>
      <c r="AU5" s="911"/>
      <c r="AV5" s="911"/>
      <c r="AW5" s="911"/>
      <c r="AX5" s="911"/>
      <c r="AY5" s="911"/>
      <c r="AZ5" s="911"/>
      <c r="BA5" s="911"/>
      <c r="BB5" s="911"/>
      <c r="BC5" s="911"/>
      <c r="BD5" s="911"/>
      <c r="BE5" s="911"/>
      <c r="BF5" s="911"/>
      <c r="BG5" s="911"/>
      <c r="BH5" s="911"/>
      <c r="BI5" s="911"/>
      <c r="BJ5" s="911"/>
      <c r="BK5" s="911"/>
      <c r="BL5" s="911"/>
      <c r="BM5" s="911"/>
      <c r="BN5" s="911"/>
      <c r="BO5" s="911"/>
      <c r="BP5" s="911"/>
      <c r="BQ5" s="911"/>
      <c r="BR5" s="911"/>
      <c r="BS5" s="911"/>
      <c r="BT5" s="911"/>
      <c r="BU5" s="911"/>
      <c r="BV5" s="911"/>
      <c r="BW5" s="911"/>
      <c r="BX5" s="911"/>
      <c r="BY5" s="911"/>
      <c r="BZ5" s="911"/>
      <c r="CA5" s="911"/>
      <c r="CB5" s="911"/>
      <c r="CC5" s="911"/>
      <c r="CD5" s="911"/>
      <c r="CE5" s="911"/>
      <c r="CF5" s="911"/>
      <c r="CG5" s="911"/>
      <c r="CH5" s="911"/>
      <c r="CI5" s="911"/>
      <c r="CJ5" s="911"/>
      <c r="CK5" s="911"/>
      <c r="CL5" s="911"/>
      <c r="CM5" s="911"/>
      <c r="CN5" s="911"/>
      <c r="CO5" s="911"/>
      <c r="CP5" s="911"/>
      <c r="CQ5" s="911"/>
      <c r="CR5" s="911"/>
      <c r="CS5" s="911"/>
      <c r="CT5" s="911"/>
      <c r="CU5" s="911"/>
      <c r="CV5" s="911"/>
      <c r="CW5" s="911"/>
      <c r="CX5" s="911"/>
      <c r="CY5" s="911"/>
      <c r="CZ5" s="911"/>
      <c r="DA5" s="911"/>
      <c r="DB5" s="911"/>
      <c r="DC5" s="911"/>
      <c r="DD5" s="911"/>
      <c r="DE5" s="911"/>
      <c r="DF5" s="911"/>
      <c r="DG5" s="911"/>
      <c r="DH5" s="911"/>
      <c r="DI5" s="911"/>
      <c r="DJ5" s="911"/>
      <c r="DK5" s="911"/>
      <c r="DL5" s="911"/>
      <c r="DM5" s="911"/>
      <c r="DN5" s="911"/>
      <c r="DO5" s="911"/>
      <c r="DP5" s="911"/>
      <c r="DQ5" s="911"/>
      <c r="DR5" s="911"/>
      <c r="DS5" s="911"/>
      <c r="DT5" s="911"/>
      <c r="DU5" s="911"/>
      <c r="DV5" s="911"/>
      <c r="DW5" s="911"/>
      <c r="DX5" s="911"/>
      <c r="DY5" s="911"/>
      <c r="DZ5" s="911"/>
      <c r="EA5" s="911"/>
      <c r="EB5" s="911"/>
      <c r="EC5" s="911"/>
      <c r="ED5" s="911"/>
      <c r="EE5" s="911"/>
      <c r="EF5" s="911"/>
      <c r="EG5" s="911"/>
      <c r="EH5" s="911"/>
      <c r="EI5" s="911"/>
      <c r="EJ5" s="911"/>
      <c r="EK5" s="911"/>
      <c r="EL5" s="911"/>
      <c r="EM5" s="911"/>
      <c r="EN5" s="911"/>
      <c r="EO5" s="911"/>
      <c r="EP5" s="911"/>
      <c r="EQ5" s="911"/>
      <c r="ER5" s="911"/>
      <c r="ES5" s="911"/>
      <c r="ET5" s="911"/>
      <c r="EU5" s="911"/>
      <c r="EV5" s="911"/>
      <c r="EW5" s="911"/>
      <c r="EX5" s="911"/>
      <c r="EY5" s="911"/>
      <c r="EZ5" s="911"/>
      <c r="FA5" s="911"/>
      <c r="FB5" s="911"/>
      <c r="FC5" s="911"/>
      <c r="FD5" s="911"/>
      <c r="FE5" s="911"/>
      <c r="FF5" s="911"/>
      <c r="FG5" s="911"/>
    </row>
    <row r="6" spans="1:163" hidden="1">
      <c r="A6" s="911"/>
      <c r="B6" s="911"/>
      <c r="C6" s="911"/>
      <c r="D6" s="911"/>
      <c r="E6" s="911"/>
      <c r="F6" s="911"/>
      <c r="G6" s="911"/>
      <c r="H6" s="911"/>
      <c r="I6" s="911"/>
      <c r="J6" s="911"/>
      <c r="K6" s="911"/>
      <c r="L6" s="988"/>
      <c r="M6" s="989"/>
      <c r="N6" s="911"/>
      <c r="O6" s="911"/>
      <c r="P6" s="911"/>
      <c r="Q6" s="911"/>
      <c r="R6" s="911"/>
      <c r="S6" s="911"/>
      <c r="T6" s="911"/>
      <c r="U6" s="911"/>
      <c r="V6" s="911"/>
      <c r="W6" s="911"/>
      <c r="X6" s="911"/>
      <c r="Y6" s="911"/>
      <c r="Z6" s="911"/>
      <c r="AA6" s="911"/>
      <c r="AB6" s="911"/>
      <c r="AC6" s="911"/>
      <c r="AD6" s="911"/>
      <c r="AE6" s="911"/>
      <c r="AF6" s="911"/>
      <c r="AG6" s="911"/>
      <c r="AH6" s="911"/>
      <c r="AI6" s="911"/>
      <c r="AJ6" s="911"/>
      <c r="AK6" s="911"/>
      <c r="AL6" s="911"/>
      <c r="AM6" s="911"/>
      <c r="AN6" s="911"/>
      <c r="AO6" s="911"/>
      <c r="AP6" s="911"/>
      <c r="AQ6" s="911"/>
      <c r="AR6" s="911"/>
      <c r="AS6" s="911"/>
      <c r="AT6" s="911"/>
      <c r="AU6" s="911"/>
      <c r="AV6" s="911"/>
      <c r="AW6" s="911"/>
      <c r="AX6" s="911"/>
      <c r="AY6" s="911"/>
      <c r="AZ6" s="911"/>
      <c r="BA6" s="911"/>
      <c r="BB6" s="911"/>
      <c r="BC6" s="911"/>
      <c r="BD6" s="911"/>
      <c r="BE6" s="911"/>
      <c r="BF6" s="911"/>
      <c r="BG6" s="911"/>
      <c r="BH6" s="911"/>
      <c r="BI6" s="911"/>
      <c r="BJ6" s="911"/>
      <c r="BK6" s="911"/>
      <c r="BL6" s="911"/>
      <c r="BM6" s="911"/>
      <c r="BN6" s="911"/>
      <c r="BO6" s="911"/>
      <c r="BP6" s="911"/>
      <c r="BQ6" s="911"/>
      <c r="BR6" s="911"/>
      <c r="BS6" s="911"/>
      <c r="BT6" s="911"/>
      <c r="BU6" s="911"/>
      <c r="BV6" s="911"/>
      <c r="BW6" s="911"/>
      <c r="BX6" s="911"/>
      <c r="BY6" s="911"/>
      <c r="BZ6" s="911"/>
      <c r="CA6" s="911"/>
      <c r="CB6" s="911"/>
      <c r="CC6" s="911"/>
      <c r="CD6" s="911"/>
      <c r="CE6" s="911"/>
      <c r="CF6" s="911"/>
      <c r="CG6" s="911"/>
      <c r="CH6" s="911"/>
      <c r="CI6" s="911"/>
      <c r="CJ6" s="911"/>
      <c r="CK6" s="911"/>
      <c r="CL6" s="911"/>
      <c r="CM6" s="911"/>
      <c r="CN6" s="911"/>
      <c r="CO6" s="911"/>
      <c r="CP6" s="911"/>
      <c r="CQ6" s="911"/>
      <c r="CR6" s="911"/>
      <c r="CS6" s="911"/>
      <c r="CT6" s="911"/>
      <c r="CU6" s="911"/>
      <c r="CV6" s="911"/>
      <c r="CW6" s="911"/>
      <c r="CX6" s="911"/>
      <c r="CY6" s="911"/>
      <c r="CZ6" s="911"/>
      <c r="DA6" s="911"/>
      <c r="DB6" s="911"/>
      <c r="DC6" s="911"/>
      <c r="DD6" s="911"/>
      <c r="DE6" s="911"/>
      <c r="DF6" s="911"/>
      <c r="DG6" s="911"/>
      <c r="DH6" s="911"/>
      <c r="DI6" s="911"/>
      <c r="DJ6" s="911"/>
      <c r="DK6" s="911"/>
      <c r="DL6" s="911"/>
      <c r="DM6" s="911"/>
      <c r="DN6" s="911"/>
      <c r="DO6" s="911"/>
      <c r="DP6" s="911"/>
      <c r="DQ6" s="911"/>
      <c r="DR6" s="911"/>
      <c r="DS6" s="911"/>
      <c r="DT6" s="911"/>
      <c r="DU6" s="911"/>
      <c r="DV6" s="911"/>
      <c r="DW6" s="911"/>
      <c r="DX6" s="911"/>
      <c r="DY6" s="911"/>
      <c r="DZ6" s="911"/>
      <c r="EA6" s="911"/>
      <c r="EB6" s="911"/>
      <c r="EC6" s="911"/>
      <c r="ED6" s="911"/>
      <c r="EE6" s="911"/>
      <c r="EF6" s="911"/>
      <c r="EG6" s="911"/>
      <c r="EH6" s="911"/>
      <c r="EI6" s="911"/>
      <c r="EJ6" s="911"/>
      <c r="EK6" s="911"/>
      <c r="EL6" s="911"/>
      <c r="EM6" s="911"/>
      <c r="EN6" s="911"/>
      <c r="EO6" s="911"/>
      <c r="EP6" s="911"/>
      <c r="EQ6" s="911"/>
      <c r="ER6" s="911"/>
      <c r="ES6" s="911"/>
      <c r="ET6" s="911"/>
      <c r="EU6" s="911"/>
      <c r="EV6" s="911"/>
      <c r="EW6" s="911"/>
      <c r="EX6" s="911"/>
      <c r="EY6" s="911"/>
      <c r="EZ6" s="911"/>
      <c r="FA6" s="911"/>
      <c r="FB6" s="911"/>
      <c r="FC6" s="911"/>
      <c r="FD6" s="911"/>
      <c r="FE6" s="911"/>
      <c r="FF6" s="911"/>
      <c r="FG6" s="911"/>
    </row>
    <row r="7" spans="1:163" hidden="1">
      <c r="A7" s="911"/>
      <c r="B7" s="911"/>
      <c r="C7" s="911"/>
      <c r="D7" s="911"/>
      <c r="E7" s="911"/>
      <c r="F7" s="911"/>
      <c r="G7" s="911"/>
      <c r="H7" s="911"/>
      <c r="I7" s="911"/>
      <c r="J7" s="911"/>
      <c r="K7" s="911"/>
      <c r="L7" s="988"/>
      <c r="M7" s="989"/>
      <c r="N7" s="911"/>
      <c r="O7" s="911"/>
      <c r="P7" s="911"/>
      <c r="Q7" s="731" t="b">
        <v>0</v>
      </c>
      <c r="R7" s="731" t="b">
        <v>0</v>
      </c>
      <c r="S7" s="731" t="b">
        <v>0</v>
      </c>
      <c r="T7" s="731" t="b">
        <v>0</v>
      </c>
      <c r="U7" s="731" t="b">
        <v>0</v>
      </c>
      <c r="V7" s="731" t="b">
        <v>0</v>
      </c>
      <c r="W7" s="731" t="b">
        <v>0</v>
      </c>
      <c r="X7" s="731" t="b">
        <v>0</v>
      </c>
      <c r="Y7" s="731" t="b">
        <v>0</v>
      </c>
      <c r="Z7" s="731" t="b">
        <v>0</v>
      </c>
      <c r="AA7" s="731" t="b">
        <v>0</v>
      </c>
      <c r="AB7" s="731" t="b">
        <v>0</v>
      </c>
      <c r="AC7" s="731" t="b">
        <v>0</v>
      </c>
      <c r="AD7" s="731" t="b">
        <v>0</v>
      </c>
      <c r="AE7" s="731" t="b">
        <v>0</v>
      </c>
      <c r="AF7" s="731" t="b">
        <v>0</v>
      </c>
      <c r="AG7" s="731" t="b">
        <v>0</v>
      </c>
      <c r="AH7" s="731" t="b">
        <v>0</v>
      </c>
      <c r="AI7" s="731" t="b">
        <v>0</v>
      </c>
      <c r="AJ7" s="731" t="b">
        <v>0</v>
      </c>
      <c r="AK7" s="731" t="b">
        <v>0</v>
      </c>
      <c r="AL7" s="731" t="b">
        <v>0</v>
      </c>
      <c r="AM7" s="731" t="b">
        <v>0</v>
      </c>
      <c r="AN7" s="731" t="b">
        <v>0</v>
      </c>
      <c r="AO7" s="731" t="b">
        <v>0</v>
      </c>
      <c r="AP7" s="731" t="b">
        <v>0</v>
      </c>
      <c r="AQ7" s="731" t="b">
        <v>0</v>
      </c>
      <c r="AR7" s="731" t="b">
        <v>0</v>
      </c>
      <c r="AS7" s="731" t="b">
        <v>0</v>
      </c>
      <c r="AT7" s="731" t="b">
        <v>0</v>
      </c>
      <c r="AU7" s="731" t="b">
        <v>0</v>
      </c>
      <c r="AV7" s="731" t="b">
        <v>0</v>
      </c>
      <c r="AW7" s="731" t="b">
        <v>0</v>
      </c>
      <c r="AX7" s="731" t="b">
        <v>0</v>
      </c>
      <c r="AY7" s="731" t="b">
        <v>0</v>
      </c>
      <c r="AZ7" s="731" t="b">
        <v>0</v>
      </c>
      <c r="BA7" s="731" t="b">
        <v>0</v>
      </c>
      <c r="BB7" s="731" t="b">
        <v>0</v>
      </c>
      <c r="BC7" s="731" t="b">
        <v>0</v>
      </c>
      <c r="BD7" s="731" t="b">
        <v>0</v>
      </c>
      <c r="BE7" s="731" t="b">
        <v>0</v>
      </c>
      <c r="BF7" s="731" t="b">
        <v>0</v>
      </c>
      <c r="BG7" s="731" t="b">
        <v>0</v>
      </c>
      <c r="BH7" s="731" t="b">
        <v>0</v>
      </c>
      <c r="BI7" s="731" t="b">
        <v>0</v>
      </c>
      <c r="BJ7" s="731" t="b">
        <v>0</v>
      </c>
      <c r="BK7" s="731" t="b">
        <v>0</v>
      </c>
      <c r="BL7" s="731" t="b">
        <v>0</v>
      </c>
      <c r="BM7" s="731" t="b">
        <v>0</v>
      </c>
      <c r="BN7" s="731" t="b">
        <v>0</v>
      </c>
      <c r="BO7" s="731" t="b">
        <v>0</v>
      </c>
      <c r="BP7" s="731" t="b">
        <v>0</v>
      </c>
      <c r="BQ7" s="731" t="b">
        <v>0</v>
      </c>
      <c r="BR7" s="731" t="b">
        <v>0</v>
      </c>
      <c r="BS7" s="731" t="b">
        <v>0</v>
      </c>
      <c r="BT7" s="731" t="b">
        <v>0</v>
      </c>
      <c r="BU7" s="731" t="b">
        <v>0</v>
      </c>
      <c r="BV7" s="731" t="b">
        <v>0</v>
      </c>
      <c r="BW7" s="731" t="b">
        <v>0</v>
      </c>
      <c r="BX7" s="731" t="b">
        <v>0</v>
      </c>
      <c r="BY7" s="731" t="b">
        <v>0</v>
      </c>
      <c r="BZ7" s="731" t="b">
        <v>0</v>
      </c>
      <c r="CA7" s="731" t="b">
        <v>0</v>
      </c>
      <c r="CB7" s="731" t="b">
        <v>0</v>
      </c>
      <c r="CC7" s="731" t="b">
        <v>0</v>
      </c>
      <c r="CD7" s="731" t="b">
        <v>0</v>
      </c>
      <c r="CE7" s="731" t="b">
        <v>0</v>
      </c>
      <c r="CF7" s="731" t="b">
        <v>0</v>
      </c>
      <c r="CG7" s="731" t="b">
        <v>0</v>
      </c>
      <c r="CH7" s="731" t="b">
        <v>0</v>
      </c>
      <c r="CI7" s="731" t="b">
        <v>0</v>
      </c>
      <c r="CJ7" s="731" t="b">
        <v>0</v>
      </c>
      <c r="CK7" s="731" t="b">
        <v>0</v>
      </c>
      <c r="CL7" s="731" t="b">
        <v>0</v>
      </c>
      <c r="CM7" s="731" t="b">
        <v>0</v>
      </c>
      <c r="CN7" s="731" t="b">
        <v>0</v>
      </c>
      <c r="CO7" s="731" t="b">
        <v>0</v>
      </c>
      <c r="CP7" s="731" t="b">
        <v>0</v>
      </c>
      <c r="CQ7" s="731" t="b">
        <v>0</v>
      </c>
      <c r="CR7" s="731" t="b">
        <v>0</v>
      </c>
      <c r="CS7" s="731" t="b">
        <v>0</v>
      </c>
      <c r="CT7" s="731" t="b">
        <v>0</v>
      </c>
      <c r="CU7" s="731" t="b">
        <v>0</v>
      </c>
      <c r="CV7" s="731" t="b">
        <v>0</v>
      </c>
      <c r="CW7" s="731" t="b">
        <v>0</v>
      </c>
      <c r="CX7" s="731" t="b">
        <v>0</v>
      </c>
      <c r="CY7" s="731" t="b">
        <v>0</v>
      </c>
      <c r="CZ7" s="731" t="b">
        <v>0</v>
      </c>
      <c r="DA7" s="731" t="b">
        <v>0</v>
      </c>
      <c r="DB7" s="731" t="b">
        <v>0</v>
      </c>
      <c r="DC7" s="731" t="b">
        <v>0</v>
      </c>
      <c r="DD7" s="731" t="b">
        <v>0</v>
      </c>
      <c r="DE7" s="731" t="b">
        <v>0</v>
      </c>
      <c r="DF7" s="731" t="b">
        <v>0</v>
      </c>
      <c r="DG7" s="731" t="b">
        <v>0</v>
      </c>
      <c r="DH7" s="731" t="b">
        <v>0</v>
      </c>
      <c r="DI7" s="731" t="b">
        <v>0</v>
      </c>
      <c r="DJ7" s="731" t="b">
        <v>0</v>
      </c>
      <c r="DK7" s="731" t="b">
        <v>0</v>
      </c>
      <c r="DL7" s="731" t="b">
        <v>0</v>
      </c>
      <c r="DM7" s="731" t="b">
        <v>0</v>
      </c>
      <c r="DN7" s="731" t="b">
        <v>0</v>
      </c>
      <c r="DO7" s="731" t="b">
        <v>0</v>
      </c>
      <c r="DP7" s="731" t="b">
        <v>0</v>
      </c>
      <c r="DQ7" s="731" t="b">
        <v>0</v>
      </c>
      <c r="DR7" s="731" t="b">
        <v>0</v>
      </c>
      <c r="DS7" s="731" t="b">
        <v>0</v>
      </c>
      <c r="DT7" s="731" t="b">
        <v>0</v>
      </c>
      <c r="DU7" s="731" t="b">
        <v>0</v>
      </c>
      <c r="DV7" s="731" t="b">
        <v>0</v>
      </c>
      <c r="DW7" s="731" t="b">
        <v>0</v>
      </c>
      <c r="DX7" s="731" t="b">
        <v>0</v>
      </c>
      <c r="DY7" s="731" t="b">
        <v>0</v>
      </c>
      <c r="DZ7" s="731" t="b">
        <v>0</v>
      </c>
      <c r="EA7" s="731" t="b">
        <v>0</v>
      </c>
      <c r="EB7" s="731" t="b">
        <v>0</v>
      </c>
      <c r="EC7" s="731" t="b">
        <v>0</v>
      </c>
      <c r="ED7" s="731" t="b">
        <v>0</v>
      </c>
      <c r="EE7" s="731" t="b">
        <v>0</v>
      </c>
      <c r="EF7" s="731" t="b">
        <v>0</v>
      </c>
      <c r="EG7" s="731" t="b">
        <v>0</v>
      </c>
      <c r="EH7" s="731" t="b">
        <v>0</v>
      </c>
      <c r="EI7" s="731" t="b">
        <v>0</v>
      </c>
      <c r="EJ7" s="731" t="b">
        <v>0</v>
      </c>
      <c r="EK7" s="731" t="b">
        <v>0</v>
      </c>
      <c r="EL7" s="731" t="b">
        <v>0</v>
      </c>
      <c r="EM7" s="731" t="b">
        <v>0</v>
      </c>
      <c r="EN7" s="731" t="b">
        <v>0</v>
      </c>
      <c r="EO7" s="731" t="b">
        <v>0</v>
      </c>
      <c r="EP7" s="731" t="b">
        <v>0</v>
      </c>
      <c r="EQ7" s="731" t="b">
        <v>0</v>
      </c>
      <c r="ER7" s="731" t="b">
        <v>0</v>
      </c>
      <c r="ES7" s="731" t="b">
        <v>0</v>
      </c>
      <c r="ET7" s="731" t="b">
        <v>0</v>
      </c>
      <c r="EU7" s="731" t="b">
        <v>0</v>
      </c>
      <c r="EV7" s="731" t="b">
        <v>0</v>
      </c>
      <c r="EW7" s="731" t="b">
        <v>0</v>
      </c>
      <c r="EX7" s="731" t="b">
        <v>0</v>
      </c>
      <c r="EY7" s="731" t="b">
        <v>0</v>
      </c>
      <c r="EZ7" s="731" t="b">
        <v>0</v>
      </c>
      <c r="FA7" s="731" t="b">
        <v>0</v>
      </c>
      <c r="FB7" s="731" t="b">
        <v>0</v>
      </c>
      <c r="FC7" s="731" t="b">
        <v>0</v>
      </c>
      <c r="FD7" s="731" t="b">
        <v>0</v>
      </c>
      <c r="FE7" s="731" t="b">
        <v>0</v>
      </c>
      <c r="FF7" s="731" t="b">
        <v>0</v>
      </c>
      <c r="FG7" s="731" t="b">
        <v>0</v>
      </c>
    </row>
    <row r="8" spans="1:163" hidden="1">
      <c r="A8" s="911"/>
      <c r="B8" s="911"/>
      <c r="C8" s="911"/>
      <c r="D8" s="911"/>
      <c r="E8" s="911"/>
      <c r="F8" s="911"/>
      <c r="G8" s="911"/>
      <c r="H8" s="911"/>
      <c r="I8" s="911"/>
      <c r="J8" s="911"/>
      <c r="K8" s="911"/>
      <c r="L8" s="988"/>
      <c r="M8" s="989"/>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1"/>
      <c r="AY8" s="911"/>
      <c r="AZ8" s="911"/>
      <c r="BA8" s="911"/>
      <c r="BB8" s="911"/>
      <c r="BC8" s="911"/>
      <c r="BD8" s="911"/>
      <c r="BE8" s="911"/>
      <c r="BF8" s="911"/>
      <c r="BG8" s="911"/>
      <c r="BH8" s="911"/>
      <c r="BI8" s="911"/>
      <c r="BJ8" s="911"/>
      <c r="BK8" s="911"/>
      <c r="BL8" s="911"/>
      <c r="BM8" s="911"/>
      <c r="BN8" s="911"/>
      <c r="BO8" s="911"/>
      <c r="BP8" s="911"/>
      <c r="BQ8" s="911"/>
      <c r="BR8" s="911"/>
      <c r="BS8" s="911"/>
      <c r="BT8" s="911"/>
      <c r="BU8" s="911"/>
      <c r="BV8" s="911"/>
      <c r="BW8" s="911"/>
      <c r="BX8" s="911"/>
      <c r="BY8" s="911"/>
      <c r="BZ8" s="911"/>
      <c r="CA8" s="911"/>
      <c r="CB8" s="911"/>
      <c r="CC8" s="911"/>
      <c r="CD8" s="911"/>
      <c r="CE8" s="911"/>
      <c r="CF8" s="911"/>
      <c r="CG8" s="911"/>
      <c r="CH8" s="911"/>
      <c r="CI8" s="911"/>
      <c r="CJ8" s="911"/>
      <c r="CK8" s="911"/>
      <c r="CL8" s="911"/>
      <c r="CM8" s="911"/>
      <c r="CN8" s="911"/>
      <c r="CO8" s="911"/>
      <c r="CP8" s="911"/>
      <c r="CQ8" s="911"/>
      <c r="CR8" s="911"/>
      <c r="CS8" s="911"/>
      <c r="CT8" s="911"/>
      <c r="CU8" s="911"/>
      <c r="CV8" s="911"/>
      <c r="CW8" s="911"/>
      <c r="CX8" s="911"/>
      <c r="CY8" s="911"/>
      <c r="CZ8" s="911"/>
      <c r="DA8" s="911"/>
      <c r="DB8" s="911"/>
      <c r="DC8" s="911"/>
      <c r="DD8" s="911"/>
      <c r="DE8" s="911"/>
      <c r="DF8" s="911"/>
      <c r="DG8" s="911"/>
      <c r="DH8" s="911"/>
      <c r="DI8" s="911"/>
      <c r="DJ8" s="911"/>
      <c r="DK8" s="911"/>
      <c r="DL8" s="911"/>
      <c r="DM8" s="911"/>
      <c r="DN8" s="911"/>
      <c r="DO8" s="911"/>
      <c r="DP8" s="911"/>
      <c r="DQ8" s="911"/>
      <c r="DR8" s="911"/>
      <c r="DS8" s="911"/>
      <c r="DT8" s="911"/>
      <c r="DU8" s="911"/>
      <c r="DV8" s="911"/>
      <c r="DW8" s="911"/>
      <c r="DX8" s="911"/>
      <c r="DY8" s="911"/>
      <c r="DZ8" s="911"/>
      <c r="EA8" s="911"/>
      <c r="EB8" s="911"/>
      <c r="EC8" s="911"/>
      <c r="ED8" s="911"/>
      <c r="EE8" s="911"/>
      <c r="EF8" s="911"/>
      <c r="EG8" s="911"/>
      <c r="EH8" s="911"/>
      <c r="EI8" s="911"/>
      <c r="EJ8" s="911"/>
      <c r="EK8" s="911"/>
      <c r="EL8" s="911"/>
      <c r="EM8" s="911"/>
      <c r="EN8" s="911"/>
      <c r="EO8" s="911"/>
      <c r="EP8" s="911"/>
      <c r="EQ8" s="911"/>
      <c r="ER8" s="911"/>
      <c r="ES8" s="911"/>
      <c r="ET8" s="911"/>
      <c r="EU8" s="911"/>
      <c r="EV8" s="911"/>
      <c r="EW8" s="911"/>
      <c r="EX8" s="911"/>
      <c r="EY8" s="911"/>
      <c r="EZ8" s="911"/>
      <c r="FA8" s="911"/>
      <c r="FB8" s="911"/>
      <c r="FC8" s="911"/>
      <c r="FD8" s="911"/>
      <c r="FE8" s="911"/>
      <c r="FF8" s="911"/>
      <c r="FG8" s="911"/>
    </row>
    <row r="9" spans="1:163" hidden="1">
      <c r="A9" s="911"/>
      <c r="B9" s="911"/>
      <c r="C9" s="911"/>
      <c r="D9" s="911"/>
      <c r="E9" s="911"/>
      <c r="F9" s="911"/>
      <c r="G9" s="911"/>
      <c r="H9" s="911"/>
      <c r="I9" s="911"/>
      <c r="J9" s="911"/>
      <c r="K9" s="911"/>
      <c r="L9" s="988"/>
      <c r="M9" s="989"/>
      <c r="N9" s="911"/>
      <c r="O9" s="911"/>
      <c r="P9" s="911"/>
      <c r="Q9" s="911"/>
      <c r="R9" s="911"/>
      <c r="S9" s="911"/>
      <c r="T9" s="911"/>
      <c r="U9" s="911"/>
      <c r="V9" s="911"/>
      <c r="W9" s="911"/>
      <c r="X9" s="911"/>
      <c r="Y9" s="911"/>
      <c r="Z9" s="911"/>
      <c r="AA9" s="911"/>
      <c r="AB9" s="911"/>
      <c r="AC9" s="911"/>
      <c r="AD9" s="911"/>
      <c r="AE9" s="911"/>
      <c r="AF9" s="911"/>
      <c r="AG9" s="911"/>
      <c r="AH9" s="911"/>
      <c r="AI9" s="911"/>
      <c r="AJ9" s="911"/>
      <c r="AK9" s="911"/>
      <c r="AL9" s="911"/>
      <c r="AM9" s="911"/>
      <c r="AN9" s="911"/>
      <c r="AO9" s="911"/>
      <c r="AP9" s="911"/>
      <c r="AQ9" s="911"/>
      <c r="AR9" s="911"/>
      <c r="AS9" s="911"/>
      <c r="AT9" s="911"/>
      <c r="AU9" s="911"/>
      <c r="AV9" s="911"/>
      <c r="AW9" s="911"/>
      <c r="AX9" s="911"/>
      <c r="AY9" s="911"/>
      <c r="AZ9" s="911"/>
      <c r="BA9" s="911"/>
      <c r="BB9" s="911"/>
      <c r="BC9" s="911"/>
      <c r="BD9" s="911"/>
      <c r="BE9" s="911"/>
      <c r="BF9" s="911"/>
      <c r="BG9" s="911"/>
      <c r="BH9" s="911"/>
      <c r="BI9" s="911"/>
      <c r="BJ9" s="911"/>
      <c r="BK9" s="911"/>
      <c r="BL9" s="911"/>
      <c r="BM9" s="911"/>
      <c r="BN9" s="911"/>
      <c r="BO9" s="911"/>
      <c r="BP9" s="911"/>
      <c r="BQ9" s="911"/>
      <c r="BR9" s="911"/>
      <c r="BS9" s="911"/>
      <c r="BT9" s="911"/>
      <c r="BU9" s="911"/>
      <c r="BV9" s="911"/>
      <c r="BW9" s="911"/>
      <c r="BX9" s="911"/>
      <c r="BY9" s="911"/>
      <c r="BZ9" s="911"/>
      <c r="CA9" s="911"/>
      <c r="CB9" s="911"/>
      <c r="CC9" s="911"/>
      <c r="CD9" s="911"/>
      <c r="CE9" s="911"/>
      <c r="CF9" s="911"/>
      <c r="CG9" s="911"/>
      <c r="CH9" s="911"/>
      <c r="CI9" s="911"/>
      <c r="CJ9" s="911"/>
      <c r="CK9" s="911"/>
      <c r="CL9" s="911"/>
      <c r="CM9" s="911"/>
      <c r="CN9" s="911"/>
      <c r="CO9" s="911"/>
      <c r="CP9" s="911"/>
      <c r="CQ9" s="911"/>
      <c r="CR9" s="911"/>
      <c r="CS9" s="911"/>
      <c r="CT9" s="911"/>
      <c r="CU9" s="911"/>
      <c r="CV9" s="911"/>
      <c r="CW9" s="911"/>
      <c r="CX9" s="911"/>
      <c r="CY9" s="911"/>
      <c r="CZ9" s="911"/>
      <c r="DA9" s="911"/>
      <c r="DB9" s="911"/>
      <c r="DC9" s="911"/>
      <c r="DD9" s="911"/>
      <c r="DE9" s="911"/>
      <c r="DF9" s="911"/>
      <c r="DG9" s="911"/>
      <c r="DH9" s="911"/>
      <c r="DI9" s="911"/>
      <c r="DJ9" s="911"/>
      <c r="DK9" s="911"/>
      <c r="DL9" s="911"/>
      <c r="DM9" s="911"/>
      <c r="DN9" s="911"/>
      <c r="DO9" s="911"/>
      <c r="DP9" s="911"/>
      <c r="DQ9" s="911"/>
      <c r="DR9" s="911"/>
      <c r="DS9" s="911"/>
      <c r="DT9" s="911"/>
      <c r="DU9" s="911"/>
      <c r="DV9" s="911"/>
      <c r="DW9" s="911"/>
      <c r="DX9" s="911"/>
      <c r="DY9" s="911"/>
      <c r="DZ9" s="911"/>
      <c r="EA9" s="911"/>
      <c r="EB9" s="911"/>
      <c r="EC9" s="911"/>
      <c r="ED9" s="911"/>
      <c r="EE9" s="911"/>
      <c r="EF9" s="911"/>
      <c r="EG9" s="911"/>
      <c r="EH9" s="911"/>
      <c r="EI9" s="911"/>
      <c r="EJ9" s="911"/>
      <c r="EK9" s="911"/>
      <c r="EL9" s="911"/>
      <c r="EM9" s="911"/>
      <c r="EN9" s="911"/>
      <c r="EO9" s="911"/>
      <c r="EP9" s="911"/>
      <c r="EQ9" s="911"/>
      <c r="ER9" s="911"/>
      <c r="ES9" s="911"/>
      <c r="ET9" s="911"/>
      <c r="EU9" s="911"/>
      <c r="EV9" s="911"/>
      <c r="EW9" s="911"/>
      <c r="EX9" s="911"/>
      <c r="EY9" s="911"/>
      <c r="EZ9" s="911"/>
      <c r="FA9" s="911"/>
      <c r="FB9" s="911"/>
      <c r="FC9" s="911"/>
      <c r="FD9" s="911"/>
      <c r="FE9" s="911"/>
      <c r="FF9" s="911"/>
      <c r="FG9" s="911"/>
    </row>
    <row r="10" spans="1:163" hidden="1">
      <c r="A10" s="911"/>
      <c r="B10" s="911"/>
      <c r="C10" s="911"/>
      <c r="D10" s="911"/>
      <c r="E10" s="911"/>
      <c r="F10" s="911"/>
      <c r="G10" s="911"/>
      <c r="H10" s="911"/>
      <c r="I10" s="911"/>
      <c r="J10" s="911"/>
      <c r="K10" s="911"/>
      <c r="L10" s="988"/>
      <c r="M10" s="989"/>
      <c r="N10" s="911"/>
      <c r="O10" s="911"/>
      <c r="P10" s="911"/>
      <c r="Q10" s="911"/>
      <c r="R10" s="911"/>
      <c r="S10" s="911"/>
      <c r="T10" s="911"/>
      <c r="U10" s="911"/>
      <c r="V10" s="911"/>
      <c r="W10" s="911"/>
      <c r="X10" s="911"/>
      <c r="Y10" s="911"/>
      <c r="Z10" s="911"/>
      <c r="AA10" s="911"/>
      <c r="AB10" s="911"/>
      <c r="AC10" s="911"/>
      <c r="AD10" s="911"/>
      <c r="AE10" s="911"/>
      <c r="AF10" s="911"/>
      <c r="AG10" s="911"/>
      <c r="AH10" s="911"/>
      <c r="AI10" s="911"/>
      <c r="AJ10" s="911"/>
      <c r="AK10" s="911"/>
      <c r="AL10" s="911"/>
      <c r="AM10" s="911"/>
      <c r="AN10" s="911"/>
      <c r="AO10" s="911"/>
      <c r="AP10" s="911"/>
      <c r="AQ10" s="911"/>
      <c r="AR10" s="911"/>
      <c r="AS10" s="911"/>
      <c r="AT10" s="911"/>
      <c r="AU10" s="911"/>
      <c r="AV10" s="911"/>
      <c r="AW10" s="911"/>
      <c r="AX10" s="911"/>
      <c r="AY10" s="911"/>
      <c r="AZ10" s="911"/>
      <c r="BA10" s="911"/>
      <c r="BB10" s="911"/>
      <c r="BC10" s="911"/>
      <c r="BD10" s="911"/>
      <c r="BE10" s="911"/>
      <c r="BF10" s="911"/>
      <c r="BG10" s="911"/>
      <c r="BH10" s="911"/>
      <c r="BI10" s="911"/>
      <c r="BJ10" s="911"/>
      <c r="BK10" s="911"/>
      <c r="BL10" s="911"/>
      <c r="BM10" s="911"/>
      <c r="BN10" s="911"/>
      <c r="BO10" s="911"/>
      <c r="BP10" s="911"/>
      <c r="BQ10" s="911"/>
      <c r="BR10" s="911"/>
      <c r="BS10" s="911"/>
      <c r="BT10" s="911"/>
      <c r="BU10" s="911"/>
      <c r="BV10" s="911"/>
      <c r="BW10" s="911"/>
      <c r="BX10" s="911"/>
      <c r="BY10" s="911"/>
      <c r="BZ10" s="911"/>
      <c r="CA10" s="911"/>
      <c r="CB10" s="911"/>
      <c r="CC10" s="911"/>
      <c r="CD10" s="911"/>
      <c r="CE10" s="911"/>
      <c r="CF10" s="911"/>
      <c r="CG10" s="911"/>
      <c r="CH10" s="911"/>
      <c r="CI10" s="911"/>
      <c r="CJ10" s="911"/>
      <c r="CK10" s="911"/>
      <c r="CL10" s="911"/>
      <c r="CM10" s="911"/>
      <c r="CN10" s="911"/>
      <c r="CO10" s="911"/>
      <c r="CP10" s="911"/>
      <c r="CQ10" s="911"/>
      <c r="CR10" s="911"/>
      <c r="CS10" s="911"/>
      <c r="CT10" s="911"/>
      <c r="CU10" s="911"/>
      <c r="CV10" s="911"/>
      <c r="CW10" s="911"/>
      <c r="CX10" s="911"/>
      <c r="CY10" s="911"/>
      <c r="CZ10" s="911"/>
      <c r="DA10" s="911"/>
      <c r="DB10" s="911"/>
      <c r="DC10" s="911"/>
      <c r="DD10" s="911"/>
      <c r="DE10" s="911"/>
      <c r="DF10" s="911"/>
      <c r="DG10" s="911"/>
      <c r="DH10" s="911"/>
      <c r="DI10" s="911"/>
      <c r="DJ10" s="911"/>
      <c r="DK10" s="911"/>
      <c r="DL10" s="911"/>
      <c r="DM10" s="911"/>
      <c r="DN10" s="911"/>
      <c r="DO10" s="911"/>
      <c r="DP10" s="911"/>
      <c r="DQ10" s="911"/>
      <c r="DR10" s="911"/>
      <c r="DS10" s="911"/>
      <c r="DT10" s="911"/>
      <c r="DU10" s="911"/>
      <c r="DV10" s="911"/>
      <c r="DW10" s="911"/>
      <c r="DX10" s="911"/>
      <c r="DY10" s="911"/>
      <c r="DZ10" s="911"/>
      <c r="EA10" s="911"/>
      <c r="EB10" s="911"/>
      <c r="EC10" s="911"/>
      <c r="ED10" s="911"/>
      <c r="EE10" s="911"/>
      <c r="EF10" s="911"/>
      <c r="EG10" s="911"/>
      <c r="EH10" s="911"/>
      <c r="EI10" s="911"/>
      <c r="EJ10" s="911"/>
      <c r="EK10" s="911"/>
      <c r="EL10" s="911"/>
      <c r="EM10" s="911"/>
      <c r="EN10" s="911"/>
      <c r="EO10" s="911"/>
      <c r="EP10" s="911"/>
      <c r="EQ10" s="911"/>
      <c r="ER10" s="911"/>
      <c r="ES10" s="911"/>
      <c r="ET10" s="911"/>
      <c r="EU10" s="911"/>
      <c r="EV10" s="911"/>
      <c r="EW10" s="911"/>
      <c r="EX10" s="911"/>
      <c r="EY10" s="911"/>
      <c r="EZ10" s="911"/>
      <c r="FA10" s="911"/>
      <c r="FB10" s="911"/>
      <c r="FC10" s="911"/>
      <c r="FD10" s="911"/>
      <c r="FE10" s="911"/>
      <c r="FF10" s="911"/>
      <c r="FG10" s="911"/>
    </row>
    <row r="11" spans="1:163" ht="15" hidden="1" customHeight="1">
      <c r="A11" s="911"/>
      <c r="B11" s="911"/>
      <c r="C11" s="911"/>
      <c r="D11" s="911"/>
      <c r="E11" s="911"/>
      <c r="F11" s="911"/>
      <c r="G11" s="911"/>
      <c r="H11" s="911"/>
      <c r="I11" s="911"/>
      <c r="J11" s="911"/>
      <c r="K11" s="911"/>
      <c r="L11" s="990"/>
      <c r="M11" s="989"/>
      <c r="N11" s="911"/>
      <c r="O11" s="911"/>
      <c r="P11" s="911"/>
      <c r="Q11" s="911"/>
      <c r="R11" s="911"/>
      <c r="S11" s="911"/>
      <c r="T11" s="911"/>
      <c r="U11" s="911"/>
      <c r="V11" s="911"/>
      <c r="W11" s="911"/>
      <c r="X11" s="911"/>
      <c r="Y11" s="911"/>
      <c r="Z11" s="911"/>
      <c r="AA11" s="911"/>
      <c r="AB11" s="911"/>
      <c r="AC11" s="911"/>
      <c r="AD11" s="911"/>
      <c r="AE11" s="911"/>
      <c r="AF11" s="911"/>
      <c r="AG11" s="911"/>
      <c r="AH11" s="911"/>
      <c r="AI11" s="911"/>
      <c r="AJ11" s="911"/>
      <c r="AK11" s="911"/>
      <c r="AL11" s="911"/>
      <c r="AM11" s="911"/>
      <c r="AN11" s="911"/>
      <c r="AO11" s="911"/>
      <c r="AP11" s="911"/>
      <c r="AQ11" s="911"/>
      <c r="AR11" s="911"/>
      <c r="AS11" s="911"/>
      <c r="AT11" s="911"/>
      <c r="AU11" s="911"/>
      <c r="AV11" s="911"/>
      <c r="AW11" s="911"/>
      <c r="AX11" s="911"/>
      <c r="AY11" s="911"/>
      <c r="AZ11" s="911"/>
      <c r="BA11" s="911"/>
      <c r="BB11" s="911"/>
      <c r="BC11" s="911"/>
      <c r="BD11" s="911"/>
      <c r="BE11" s="911"/>
      <c r="BF11" s="911"/>
      <c r="BG11" s="911"/>
      <c r="BH11" s="911"/>
      <c r="BI11" s="911"/>
      <c r="BJ11" s="911"/>
      <c r="BK11" s="911"/>
      <c r="BL11" s="911"/>
      <c r="BM11" s="911"/>
      <c r="BN11" s="911"/>
      <c r="BO11" s="911"/>
      <c r="BP11" s="911"/>
      <c r="BQ11" s="911"/>
      <c r="BR11" s="911"/>
      <c r="BS11" s="911"/>
      <c r="BT11" s="911"/>
      <c r="BU11" s="911"/>
      <c r="BV11" s="911"/>
      <c r="BW11" s="911"/>
      <c r="BX11" s="911"/>
      <c r="BY11" s="911"/>
      <c r="BZ11" s="911"/>
      <c r="CA11" s="911"/>
      <c r="CB11" s="911"/>
      <c r="CC11" s="911"/>
      <c r="CD11" s="911"/>
      <c r="CE11" s="911"/>
      <c r="CF11" s="911"/>
      <c r="CG11" s="911"/>
      <c r="CH11" s="911"/>
      <c r="CI11" s="911"/>
      <c r="CJ11" s="911"/>
      <c r="CK11" s="911"/>
      <c r="CL11" s="911"/>
      <c r="CM11" s="911"/>
      <c r="CN11" s="911"/>
      <c r="CO11" s="911"/>
      <c r="CP11" s="911"/>
      <c r="CQ11" s="911"/>
      <c r="CR11" s="911"/>
      <c r="CS11" s="911"/>
      <c r="CT11" s="911"/>
      <c r="CU11" s="911"/>
      <c r="CV11" s="911"/>
      <c r="CW11" s="911"/>
      <c r="CX11" s="911"/>
      <c r="CY11" s="911"/>
      <c r="CZ11" s="911"/>
      <c r="DA11" s="911"/>
      <c r="DB11" s="911"/>
      <c r="DC11" s="911"/>
      <c r="DD11" s="911"/>
      <c r="DE11" s="911"/>
      <c r="DF11" s="911"/>
      <c r="DG11" s="911"/>
      <c r="DH11" s="911"/>
      <c r="DI11" s="911"/>
      <c r="DJ11" s="911"/>
      <c r="DK11" s="911"/>
      <c r="DL11" s="911"/>
      <c r="DM11" s="911"/>
      <c r="DN11" s="911"/>
      <c r="DO11" s="911"/>
      <c r="DP11" s="911"/>
      <c r="DQ11" s="911"/>
      <c r="DR11" s="911"/>
      <c r="DS11" s="911"/>
      <c r="DT11" s="911"/>
      <c r="DU11" s="911"/>
      <c r="DV11" s="911"/>
      <c r="DW11" s="911"/>
      <c r="DX11" s="911"/>
      <c r="DY11" s="911"/>
      <c r="DZ11" s="911"/>
      <c r="EA11" s="911"/>
      <c r="EB11" s="911"/>
      <c r="EC11" s="911"/>
      <c r="ED11" s="911"/>
      <c r="EE11" s="911"/>
      <c r="EF11" s="911"/>
      <c r="EG11" s="911"/>
      <c r="EH11" s="911"/>
      <c r="EI11" s="911"/>
      <c r="EJ11" s="911"/>
      <c r="EK11" s="911"/>
      <c r="EL11" s="911"/>
      <c r="EM11" s="911"/>
      <c r="EN11" s="911"/>
      <c r="EO11" s="911"/>
      <c r="EP11" s="911"/>
      <c r="EQ11" s="911"/>
      <c r="ER11" s="911"/>
      <c r="ES11" s="911"/>
      <c r="ET11" s="911"/>
      <c r="EU11" s="911"/>
      <c r="EV11" s="911"/>
      <c r="EW11" s="911"/>
      <c r="EX11" s="911"/>
      <c r="EY11" s="911"/>
      <c r="EZ11" s="911"/>
      <c r="FA11" s="911"/>
      <c r="FB11" s="911"/>
      <c r="FC11" s="911"/>
      <c r="FD11" s="911"/>
      <c r="FE11" s="911"/>
      <c r="FF11" s="911"/>
      <c r="FG11" s="911"/>
    </row>
    <row r="12" spans="1:163" s="292" customFormat="1" ht="24" customHeight="1">
      <c r="A12" s="991"/>
      <c r="B12" s="991"/>
      <c r="C12" s="991"/>
      <c r="D12" s="991"/>
      <c r="E12" s="991"/>
      <c r="F12" s="991"/>
      <c r="G12" s="991"/>
      <c r="H12" s="991"/>
      <c r="I12" s="991"/>
      <c r="J12" s="991"/>
      <c r="K12" s="991"/>
      <c r="L12" s="419" t="s">
        <v>1255</v>
      </c>
      <c r="M12" s="340"/>
      <c r="N12" s="340"/>
      <c r="O12" s="340"/>
      <c r="P12" s="340"/>
      <c r="Q12" s="340"/>
      <c r="R12" s="340"/>
      <c r="S12" s="340"/>
      <c r="T12" s="340"/>
      <c r="U12" s="340"/>
      <c r="V12" s="340"/>
      <c r="W12" s="340"/>
      <c r="X12" s="340"/>
      <c r="Y12" s="340"/>
      <c r="Z12" s="340"/>
      <c r="AA12" s="340"/>
      <c r="AB12" s="340"/>
      <c r="AC12" s="340"/>
      <c r="AD12" s="340"/>
      <c r="AE12" s="340"/>
      <c r="AF12" s="340"/>
      <c r="AG12" s="340"/>
      <c r="AH12" s="340"/>
      <c r="AI12" s="340"/>
      <c r="AJ12" s="340"/>
      <c r="AK12" s="340"/>
      <c r="AL12" s="340"/>
      <c r="AM12" s="340"/>
      <c r="AN12" s="340"/>
      <c r="AO12" s="340"/>
      <c r="AP12" s="340"/>
      <c r="AQ12" s="340"/>
      <c r="AR12" s="992"/>
      <c r="AS12" s="992"/>
      <c r="AT12" s="992"/>
      <c r="AU12" s="992"/>
      <c r="AV12" s="992"/>
      <c r="AW12" s="992"/>
      <c r="AX12" s="992"/>
      <c r="AY12" s="992"/>
      <c r="AZ12" s="992"/>
      <c r="BA12" s="992"/>
      <c r="BB12" s="992"/>
      <c r="BC12" s="992"/>
      <c r="BD12" s="992"/>
      <c r="BE12" s="992"/>
      <c r="BF12" s="992"/>
      <c r="BG12" s="992"/>
      <c r="BH12" s="992"/>
      <c r="BI12" s="992"/>
      <c r="BJ12" s="992"/>
      <c r="BK12" s="992"/>
      <c r="BL12" s="992"/>
      <c r="BM12" s="992"/>
      <c r="BN12" s="992"/>
      <c r="BO12" s="992"/>
      <c r="BP12" s="992"/>
      <c r="BQ12" s="992"/>
      <c r="BR12" s="992"/>
      <c r="BS12" s="992"/>
      <c r="BT12" s="992"/>
      <c r="BU12" s="992"/>
      <c r="BV12" s="992"/>
      <c r="BW12" s="992"/>
      <c r="BX12" s="992"/>
      <c r="BY12" s="992"/>
      <c r="BZ12" s="992"/>
      <c r="CA12" s="992"/>
      <c r="CB12" s="992"/>
      <c r="CC12" s="992"/>
      <c r="CD12" s="992"/>
      <c r="CE12" s="992"/>
      <c r="CF12" s="992"/>
      <c r="CG12" s="992"/>
      <c r="CH12" s="992"/>
      <c r="CI12" s="992"/>
      <c r="CJ12" s="992"/>
      <c r="CK12" s="992"/>
      <c r="CL12" s="992"/>
      <c r="CM12" s="992"/>
      <c r="CN12" s="992"/>
      <c r="CO12" s="992"/>
      <c r="CP12" s="992"/>
      <c r="CQ12" s="992"/>
      <c r="CR12" s="992"/>
      <c r="CS12" s="992"/>
      <c r="CT12" s="992"/>
      <c r="CU12" s="992"/>
      <c r="CV12" s="992"/>
      <c r="CW12" s="992"/>
      <c r="CX12" s="992"/>
      <c r="CY12" s="992"/>
      <c r="CZ12" s="992"/>
      <c r="DA12" s="992"/>
      <c r="DB12" s="992"/>
      <c r="DC12" s="992"/>
      <c r="DD12" s="992"/>
      <c r="DE12" s="992"/>
      <c r="DF12" s="992"/>
      <c r="DG12" s="992"/>
      <c r="DH12" s="992"/>
      <c r="DI12" s="992"/>
      <c r="DJ12" s="992"/>
      <c r="DK12" s="992"/>
      <c r="DL12" s="992"/>
      <c r="DM12" s="992"/>
      <c r="DN12" s="992"/>
      <c r="DO12" s="992"/>
      <c r="DP12" s="992"/>
      <c r="DQ12" s="992"/>
      <c r="DR12" s="992"/>
      <c r="DS12" s="992"/>
      <c r="DT12" s="992"/>
      <c r="DU12" s="992"/>
      <c r="DV12" s="992"/>
      <c r="DW12" s="992"/>
      <c r="DX12" s="992"/>
      <c r="DY12" s="992"/>
      <c r="DZ12" s="992"/>
      <c r="EA12" s="992"/>
      <c r="EB12" s="992"/>
      <c r="EC12" s="992"/>
      <c r="ED12" s="992"/>
      <c r="EE12" s="992"/>
      <c r="EF12" s="992"/>
      <c r="EG12" s="992"/>
      <c r="EH12" s="992"/>
      <c r="EI12" s="992"/>
      <c r="EJ12" s="992"/>
      <c r="EK12" s="992"/>
      <c r="EL12" s="992"/>
      <c r="EM12" s="992"/>
      <c r="EN12" s="992"/>
      <c r="EO12" s="992"/>
      <c r="EP12" s="992"/>
      <c r="EQ12" s="992"/>
      <c r="ER12" s="992"/>
      <c r="ES12" s="992"/>
      <c r="ET12" s="992"/>
      <c r="EU12" s="992"/>
      <c r="EV12" s="992"/>
      <c r="EW12" s="992"/>
      <c r="EX12" s="992"/>
      <c r="EY12" s="992"/>
      <c r="EZ12" s="992"/>
      <c r="FA12" s="992"/>
      <c r="FB12" s="992"/>
      <c r="FC12" s="992"/>
      <c r="FD12" s="992"/>
      <c r="FE12" s="992"/>
      <c r="FF12" s="992"/>
      <c r="FG12" s="992"/>
    </row>
    <row r="13" spans="1:163">
      <c r="A13" s="911"/>
      <c r="B13" s="911"/>
      <c r="C13" s="911"/>
      <c r="D13" s="911"/>
      <c r="E13" s="911"/>
      <c r="F13" s="911"/>
      <c r="G13" s="911"/>
      <c r="H13" s="911"/>
      <c r="I13" s="911"/>
      <c r="J13" s="911"/>
      <c r="K13" s="911"/>
      <c r="L13" s="989"/>
      <c r="M13" s="989"/>
      <c r="N13" s="989"/>
      <c r="O13" s="911"/>
      <c r="P13" s="911"/>
      <c r="Q13" s="911"/>
      <c r="R13" s="911"/>
      <c r="S13" s="911"/>
      <c r="T13" s="911"/>
      <c r="U13" s="911"/>
      <c r="V13" s="911"/>
      <c r="W13" s="911"/>
      <c r="X13" s="911"/>
      <c r="Y13" s="911"/>
      <c r="Z13" s="911"/>
      <c r="AA13" s="911"/>
      <c r="AB13" s="911"/>
      <c r="AC13" s="911"/>
      <c r="AD13" s="911"/>
      <c r="AE13" s="911"/>
      <c r="AF13" s="911"/>
      <c r="AG13" s="911"/>
      <c r="AH13" s="911"/>
      <c r="AI13" s="911"/>
      <c r="AJ13" s="911"/>
      <c r="AK13" s="911"/>
      <c r="AL13" s="911"/>
      <c r="AM13" s="911"/>
      <c r="AN13" s="911"/>
      <c r="AO13" s="911"/>
      <c r="AP13" s="911"/>
      <c r="AQ13" s="911"/>
      <c r="AR13" s="911"/>
      <c r="AS13" s="911"/>
      <c r="AT13" s="911"/>
      <c r="AU13" s="911"/>
      <c r="AV13" s="911"/>
      <c r="AW13" s="911"/>
      <c r="AX13" s="911"/>
      <c r="AY13" s="911"/>
      <c r="AZ13" s="911"/>
      <c r="BA13" s="911"/>
      <c r="BB13" s="911"/>
      <c r="BC13" s="911"/>
      <c r="BD13" s="911"/>
      <c r="BE13" s="911"/>
      <c r="BF13" s="911"/>
      <c r="BG13" s="911"/>
      <c r="BH13" s="911"/>
      <c r="BI13" s="911"/>
      <c r="BJ13" s="911"/>
      <c r="BK13" s="911"/>
      <c r="BL13" s="911"/>
      <c r="BM13" s="911"/>
      <c r="BN13" s="911"/>
      <c r="BO13" s="911"/>
      <c r="BP13" s="911"/>
      <c r="BQ13" s="911"/>
      <c r="BR13" s="911"/>
      <c r="BS13" s="911"/>
      <c r="BT13" s="911"/>
      <c r="BU13" s="911"/>
      <c r="BV13" s="911"/>
      <c r="BW13" s="911"/>
      <c r="BX13" s="911"/>
      <c r="BY13" s="911"/>
      <c r="BZ13" s="911"/>
      <c r="CA13" s="911"/>
      <c r="CB13" s="911"/>
      <c r="CC13" s="911"/>
      <c r="CD13" s="911"/>
      <c r="CE13" s="911"/>
      <c r="CF13" s="911"/>
      <c r="CG13" s="911"/>
      <c r="CH13" s="911"/>
      <c r="CI13" s="911"/>
      <c r="CJ13" s="911"/>
      <c r="CK13" s="911"/>
      <c r="CL13" s="911"/>
      <c r="CM13" s="911"/>
      <c r="CN13" s="911"/>
      <c r="CO13" s="911"/>
      <c r="CP13" s="911"/>
      <c r="CQ13" s="911"/>
      <c r="CR13" s="911"/>
      <c r="CS13" s="911"/>
      <c r="CT13" s="911"/>
      <c r="CU13" s="911"/>
      <c r="CV13" s="911"/>
      <c r="CW13" s="911"/>
      <c r="CX13" s="911"/>
      <c r="CY13" s="911"/>
      <c r="CZ13" s="911"/>
      <c r="DA13" s="911"/>
      <c r="DB13" s="911"/>
      <c r="DC13" s="911"/>
      <c r="DD13" s="911"/>
      <c r="DE13" s="911"/>
      <c r="DF13" s="911"/>
      <c r="DG13" s="911"/>
      <c r="DH13" s="911"/>
      <c r="DI13" s="911"/>
      <c r="DJ13" s="911"/>
      <c r="DK13" s="911"/>
      <c r="DL13" s="911"/>
      <c r="DM13" s="911"/>
      <c r="DN13" s="911"/>
      <c r="DO13" s="911"/>
      <c r="DP13" s="911"/>
      <c r="DQ13" s="911"/>
      <c r="DR13" s="911"/>
      <c r="DS13" s="911"/>
      <c r="DT13" s="911"/>
      <c r="DU13" s="911"/>
      <c r="DV13" s="911"/>
      <c r="DW13" s="911"/>
      <c r="DX13" s="911"/>
      <c r="DY13" s="911"/>
      <c r="DZ13" s="911"/>
      <c r="EA13" s="911"/>
      <c r="EB13" s="911"/>
      <c r="EC13" s="911"/>
      <c r="ED13" s="911"/>
      <c r="EE13" s="911"/>
      <c r="EF13" s="911"/>
      <c r="EG13" s="911"/>
      <c r="EH13" s="911"/>
      <c r="EI13" s="911"/>
      <c r="EJ13" s="911"/>
      <c r="EK13" s="911"/>
      <c r="EL13" s="911"/>
      <c r="EM13" s="911"/>
      <c r="EN13" s="911"/>
      <c r="EO13" s="911"/>
      <c r="EP13" s="911"/>
      <c r="EQ13" s="911"/>
      <c r="ER13" s="911"/>
      <c r="ES13" s="911"/>
      <c r="ET13" s="911"/>
      <c r="EU13" s="911"/>
      <c r="EV13" s="911"/>
      <c r="EW13" s="911"/>
      <c r="EX13" s="911"/>
      <c r="EY13" s="911"/>
      <c r="EZ13" s="911"/>
      <c r="FA13" s="911"/>
      <c r="FB13" s="911"/>
      <c r="FC13" s="911"/>
      <c r="FD13" s="911"/>
      <c r="FE13" s="911"/>
      <c r="FF13" s="911"/>
      <c r="FG13" s="911"/>
    </row>
    <row r="14" spans="1:163" s="292" customFormat="1" ht="0.15" customHeight="1">
      <c r="A14" s="991"/>
      <c r="B14" s="991"/>
      <c r="C14" s="991"/>
      <c r="D14" s="991"/>
      <c r="E14" s="991"/>
      <c r="F14" s="991"/>
      <c r="G14" s="991" t="b">
        <v>0</v>
      </c>
      <c r="H14" s="991"/>
      <c r="I14" s="991"/>
      <c r="J14" s="991"/>
      <c r="K14" s="993"/>
      <c r="L14" s="994" t="s">
        <v>659</v>
      </c>
      <c r="M14" s="995"/>
      <c r="N14" s="995"/>
      <c r="O14" s="995"/>
      <c r="P14" s="995"/>
      <c r="Q14" s="995"/>
      <c r="R14" s="995"/>
      <c r="S14" s="995"/>
      <c r="T14" s="995"/>
      <c r="U14" s="995"/>
      <c r="V14" s="995"/>
      <c r="W14" s="995"/>
      <c r="X14" s="995"/>
      <c r="Y14" s="995"/>
      <c r="Z14" s="995"/>
      <c r="AA14" s="995"/>
      <c r="AB14" s="995"/>
      <c r="AC14" s="995"/>
      <c r="AD14" s="995"/>
      <c r="AE14" s="995"/>
      <c r="AF14" s="995"/>
      <c r="AG14" s="995"/>
      <c r="AH14" s="995"/>
      <c r="AI14" s="995"/>
      <c r="AJ14" s="995"/>
      <c r="AK14" s="995"/>
      <c r="AL14" s="995"/>
      <c r="AM14" s="995"/>
      <c r="AN14" s="995"/>
      <c r="AO14" s="995"/>
      <c r="AP14" s="995"/>
      <c r="AQ14" s="996"/>
      <c r="AR14" s="996"/>
      <c r="AS14" s="996"/>
      <c r="AT14" s="996"/>
      <c r="AU14" s="996"/>
      <c r="AV14" s="996"/>
      <c r="AW14" s="996"/>
      <c r="AX14" s="996"/>
      <c r="AY14" s="996"/>
      <c r="AZ14" s="996"/>
      <c r="BA14" s="996"/>
      <c r="BB14" s="996"/>
      <c r="BC14" s="996"/>
      <c r="BD14" s="996"/>
      <c r="BE14" s="996"/>
      <c r="BF14" s="996"/>
      <c r="BG14" s="996"/>
      <c r="BH14" s="996"/>
      <c r="BI14" s="996"/>
      <c r="BJ14" s="996"/>
      <c r="BK14" s="996"/>
      <c r="BL14" s="996"/>
      <c r="BM14" s="996"/>
      <c r="BN14" s="996"/>
      <c r="BO14" s="996"/>
      <c r="BP14" s="996"/>
      <c r="BQ14" s="996"/>
      <c r="BR14" s="996"/>
      <c r="BS14" s="996"/>
      <c r="BT14" s="996"/>
      <c r="BU14" s="996"/>
      <c r="BV14" s="996"/>
      <c r="BW14" s="996"/>
      <c r="BX14" s="996"/>
      <c r="BY14" s="996"/>
      <c r="BZ14" s="996"/>
      <c r="CA14" s="996"/>
      <c r="CB14" s="996"/>
      <c r="CC14" s="996"/>
      <c r="CD14" s="996"/>
      <c r="CE14" s="996"/>
      <c r="CF14" s="996"/>
      <c r="CG14" s="996"/>
      <c r="CH14" s="996"/>
      <c r="CI14" s="996"/>
      <c r="CJ14" s="996"/>
      <c r="CK14" s="996"/>
      <c r="CL14" s="996"/>
      <c r="CM14" s="996"/>
      <c r="CN14" s="996"/>
      <c r="CO14" s="996"/>
      <c r="CP14" s="996"/>
      <c r="CQ14" s="996"/>
      <c r="CR14" s="996"/>
      <c r="CS14" s="996"/>
      <c r="CT14" s="996"/>
      <c r="CU14" s="996"/>
      <c r="CV14" s="996"/>
      <c r="CW14" s="996"/>
      <c r="CX14" s="996"/>
      <c r="CY14" s="996"/>
      <c r="CZ14" s="996"/>
      <c r="DA14" s="996"/>
      <c r="DB14" s="996"/>
      <c r="DC14" s="996"/>
      <c r="DD14" s="996"/>
      <c r="DE14" s="996"/>
      <c r="DF14" s="996"/>
      <c r="DG14" s="996"/>
      <c r="DH14" s="996"/>
      <c r="DI14" s="996"/>
      <c r="DJ14" s="996"/>
      <c r="DK14" s="996"/>
      <c r="DL14" s="996"/>
      <c r="DM14" s="996"/>
      <c r="DN14" s="996"/>
      <c r="DO14" s="996"/>
      <c r="DP14" s="996"/>
      <c r="DQ14" s="996"/>
      <c r="DR14" s="996"/>
      <c r="DS14" s="996"/>
      <c r="DT14" s="996"/>
      <c r="DU14" s="996"/>
      <c r="DV14" s="996"/>
      <c r="DW14" s="996"/>
      <c r="DX14" s="996"/>
      <c r="DY14" s="996"/>
      <c r="DZ14" s="996"/>
      <c r="EA14" s="996"/>
      <c r="EB14" s="996"/>
      <c r="EC14" s="996"/>
      <c r="ED14" s="996"/>
      <c r="EE14" s="996"/>
      <c r="EF14" s="996"/>
      <c r="EG14" s="996"/>
      <c r="EH14" s="996"/>
      <c r="EI14" s="996"/>
      <c r="EJ14" s="996"/>
      <c r="EK14" s="996"/>
      <c r="EL14" s="996"/>
      <c r="EM14" s="996"/>
      <c r="EN14" s="996"/>
      <c r="EO14" s="996"/>
      <c r="EP14" s="996"/>
      <c r="EQ14" s="996"/>
      <c r="ER14" s="996"/>
      <c r="ES14" s="996"/>
      <c r="ET14" s="996"/>
      <c r="EU14" s="996"/>
      <c r="EV14" s="996"/>
      <c r="EW14" s="996"/>
      <c r="EX14" s="996"/>
      <c r="EY14" s="996"/>
      <c r="EZ14" s="996"/>
      <c r="FA14" s="996"/>
      <c r="FB14" s="996"/>
      <c r="FC14" s="996"/>
      <c r="FD14" s="996"/>
      <c r="FE14" s="996"/>
      <c r="FF14" s="996"/>
      <c r="FG14" s="996"/>
    </row>
    <row r="15" spans="1:163" s="569" customFormat="1" ht="0.15" customHeight="1">
      <c r="A15" s="911"/>
      <c r="B15" s="911"/>
      <c r="C15" s="911"/>
      <c r="D15" s="911"/>
      <c r="E15" s="911"/>
      <c r="F15" s="911"/>
      <c r="G15" s="991" t="b">
        <v>0</v>
      </c>
      <c r="H15" s="911"/>
      <c r="I15" s="911"/>
      <c r="J15" s="911"/>
      <c r="K15" s="911"/>
      <c r="L15" s="1182" t="s">
        <v>121</v>
      </c>
      <c r="M15" s="1182" t="s">
        <v>135</v>
      </c>
      <c r="N15" s="1171" t="s">
        <v>3012</v>
      </c>
      <c r="O15" s="1172"/>
      <c r="P15" s="1173"/>
      <c r="Q15" s="1171" t="s">
        <v>3046</v>
      </c>
      <c r="R15" s="1172"/>
      <c r="S15" s="1173"/>
      <c r="T15" s="1171" t="s">
        <v>3047</v>
      </c>
      <c r="U15" s="1172"/>
      <c r="V15" s="1173"/>
      <c r="W15" s="1171" t="s">
        <v>3048</v>
      </c>
      <c r="X15" s="1172"/>
      <c r="Y15" s="1173"/>
      <c r="Z15" s="1171" t="s">
        <v>3049</v>
      </c>
      <c r="AA15" s="1172"/>
      <c r="AB15" s="1173"/>
      <c r="AC15" s="1171" t="s">
        <v>3050</v>
      </c>
      <c r="AD15" s="1172"/>
      <c r="AE15" s="1173"/>
      <c r="AF15" s="1171" t="s">
        <v>3051</v>
      </c>
      <c r="AG15" s="1172"/>
      <c r="AH15" s="1173"/>
      <c r="AI15" s="1171" t="s">
        <v>3052</v>
      </c>
      <c r="AJ15" s="1172"/>
      <c r="AK15" s="1173"/>
      <c r="AL15" s="1171" t="s">
        <v>3053</v>
      </c>
      <c r="AM15" s="1172"/>
      <c r="AN15" s="1173"/>
      <c r="AO15" s="1171" t="s">
        <v>3054</v>
      </c>
      <c r="AP15" s="1172"/>
      <c r="AQ15" s="1173"/>
      <c r="AR15" s="1171" t="s">
        <v>3203</v>
      </c>
      <c r="AS15" s="1172"/>
      <c r="AT15" s="1173"/>
      <c r="AU15" s="1171" t="s">
        <v>3204</v>
      </c>
      <c r="AV15" s="1172"/>
      <c r="AW15" s="1173"/>
      <c r="AX15" s="1171" t="s">
        <v>3205</v>
      </c>
      <c r="AY15" s="1172"/>
      <c r="AZ15" s="1173"/>
      <c r="BA15" s="1171" t="s">
        <v>3206</v>
      </c>
      <c r="BB15" s="1172"/>
      <c r="BC15" s="1173"/>
      <c r="BD15" s="1171" t="s">
        <v>3207</v>
      </c>
      <c r="BE15" s="1172"/>
      <c r="BF15" s="1173"/>
      <c r="BG15" s="1171" t="s">
        <v>3208</v>
      </c>
      <c r="BH15" s="1172"/>
      <c r="BI15" s="1173"/>
      <c r="BJ15" s="1171" t="s">
        <v>3209</v>
      </c>
      <c r="BK15" s="1172"/>
      <c r="BL15" s="1173"/>
      <c r="BM15" s="1171" t="s">
        <v>3210</v>
      </c>
      <c r="BN15" s="1172"/>
      <c r="BO15" s="1173"/>
      <c r="BP15" s="1171" t="s">
        <v>3211</v>
      </c>
      <c r="BQ15" s="1172"/>
      <c r="BR15" s="1173"/>
      <c r="BS15" s="1171" t="s">
        <v>3212</v>
      </c>
      <c r="BT15" s="1172"/>
      <c r="BU15" s="1173"/>
      <c r="BV15" s="1171" t="s">
        <v>3213</v>
      </c>
      <c r="BW15" s="1172"/>
      <c r="BX15" s="1173"/>
      <c r="BY15" s="1171" t="s">
        <v>3214</v>
      </c>
      <c r="BZ15" s="1172"/>
      <c r="CA15" s="1173"/>
      <c r="CB15" s="1171" t="s">
        <v>3215</v>
      </c>
      <c r="CC15" s="1172"/>
      <c r="CD15" s="1173"/>
      <c r="CE15" s="1171" t="s">
        <v>3216</v>
      </c>
      <c r="CF15" s="1172"/>
      <c r="CG15" s="1173"/>
      <c r="CH15" s="1171" t="s">
        <v>3217</v>
      </c>
      <c r="CI15" s="1172"/>
      <c r="CJ15" s="1173"/>
      <c r="CK15" s="1171" t="s">
        <v>3218</v>
      </c>
      <c r="CL15" s="1172"/>
      <c r="CM15" s="1173"/>
      <c r="CN15" s="1171" t="s">
        <v>3219</v>
      </c>
      <c r="CO15" s="1172"/>
      <c r="CP15" s="1173"/>
      <c r="CQ15" s="1171" t="s">
        <v>3220</v>
      </c>
      <c r="CR15" s="1172"/>
      <c r="CS15" s="1173"/>
      <c r="CT15" s="1171" t="s">
        <v>3221</v>
      </c>
      <c r="CU15" s="1172"/>
      <c r="CV15" s="1173"/>
      <c r="CW15" s="1171" t="s">
        <v>3222</v>
      </c>
      <c r="CX15" s="1172"/>
      <c r="CY15" s="1173"/>
      <c r="CZ15" s="1171" t="s">
        <v>3223</v>
      </c>
      <c r="DA15" s="1172"/>
      <c r="DB15" s="1173"/>
      <c r="DC15" s="1171" t="s">
        <v>3224</v>
      </c>
      <c r="DD15" s="1172"/>
      <c r="DE15" s="1173"/>
      <c r="DF15" s="1171" t="s">
        <v>3225</v>
      </c>
      <c r="DG15" s="1172"/>
      <c r="DH15" s="1173"/>
      <c r="DI15" s="1171" t="s">
        <v>3226</v>
      </c>
      <c r="DJ15" s="1172"/>
      <c r="DK15" s="1173"/>
      <c r="DL15" s="1171" t="s">
        <v>3227</v>
      </c>
      <c r="DM15" s="1172"/>
      <c r="DN15" s="1173"/>
      <c r="DO15" s="1171" t="s">
        <v>3228</v>
      </c>
      <c r="DP15" s="1172"/>
      <c r="DQ15" s="1173"/>
      <c r="DR15" s="1171" t="s">
        <v>3229</v>
      </c>
      <c r="DS15" s="1172"/>
      <c r="DT15" s="1173"/>
      <c r="DU15" s="1171" t="s">
        <v>3230</v>
      </c>
      <c r="DV15" s="1172"/>
      <c r="DW15" s="1173"/>
      <c r="DX15" s="1171" t="s">
        <v>3231</v>
      </c>
      <c r="DY15" s="1172"/>
      <c r="DZ15" s="1173"/>
      <c r="EA15" s="1171" t="s">
        <v>3232</v>
      </c>
      <c r="EB15" s="1172"/>
      <c r="EC15" s="1173"/>
      <c r="ED15" s="1171" t="s">
        <v>3233</v>
      </c>
      <c r="EE15" s="1172"/>
      <c r="EF15" s="1173"/>
      <c r="EG15" s="1171" t="s">
        <v>3234</v>
      </c>
      <c r="EH15" s="1172"/>
      <c r="EI15" s="1173"/>
      <c r="EJ15" s="1171" t="s">
        <v>3235</v>
      </c>
      <c r="EK15" s="1172"/>
      <c r="EL15" s="1173"/>
      <c r="EM15" s="1171" t="s">
        <v>3236</v>
      </c>
      <c r="EN15" s="1172"/>
      <c r="EO15" s="1173"/>
      <c r="EP15" s="1171" t="s">
        <v>3237</v>
      </c>
      <c r="EQ15" s="1172"/>
      <c r="ER15" s="1173"/>
      <c r="ES15" s="1171" t="s">
        <v>3238</v>
      </c>
      <c r="ET15" s="1172"/>
      <c r="EU15" s="1173"/>
      <c r="EV15" s="1171" t="s">
        <v>3239</v>
      </c>
      <c r="EW15" s="1172"/>
      <c r="EX15" s="1173"/>
      <c r="EY15" s="1171" t="s">
        <v>3240</v>
      </c>
      <c r="EZ15" s="1172"/>
      <c r="FA15" s="1173"/>
      <c r="FB15" s="1171" t="s">
        <v>3241</v>
      </c>
      <c r="FC15" s="1172"/>
      <c r="FD15" s="1173"/>
      <c r="FE15" s="1171" t="s">
        <v>3242</v>
      </c>
      <c r="FF15" s="1172"/>
      <c r="FG15" s="1173"/>
    </row>
    <row r="16" spans="1:163" ht="0.15" customHeight="1">
      <c r="A16" s="911"/>
      <c r="B16" s="911"/>
      <c r="C16" s="911"/>
      <c r="D16" s="911"/>
      <c r="E16" s="911"/>
      <c r="F16" s="911"/>
      <c r="G16" s="991" t="b">
        <v>0</v>
      </c>
      <c r="H16" s="911"/>
      <c r="I16" s="911"/>
      <c r="J16" s="911"/>
      <c r="K16" s="911"/>
      <c r="L16" s="1182"/>
      <c r="M16" s="1182"/>
      <c r="N16" s="997" t="s">
        <v>269</v>
      </c>
      <c r="O16" s="997" t="s">
        <v>268</v>
      </c>
      <c r="P16" s="997" t="s">
        <v>1300</v>
      </c>
      <c r="Q16" s="997" t="s">
        <v>269</v>
      </c>
      <c r="R16" s="997" t="s">
        <v>268</v>
      </c>
      <c r="S16" s="997" t="s">
        <v>1300</v>
      </c>
      <c r="T16" s="997" t="s">
        <v>269</v>
      </c>
      <c r="U16" s="997" t="s">
        <v>268</v>
      </c>
      <c r="V16" s="997" t="s">
        <v>1300</v>
      </c>
      <c r="W16" s="997" t="s">
        <v>269</v>
      </c>
      <c r="X16" s="997" t="s">
        <v>268</v>
      </c>
      <c r="Y16" s="997" t="s">
        <v>1300</v>
      </c>
      <c r="Z16" s="997" t="s">
        <v>269</v>
      </c>
      <c r="AA16" s="997" t="s">
        <v>268</v>
      </c>
      <c r="AB16" s="997" t="s">
        <v>1300</v>
      </c>
      <c r="AC16" s="997" t="s">
        <v>269</v>
      </c>
      <c r="AD16" s="997" t="s">
        <v>268</v>
      </c>
      <c r="AE16" s="997" t="s">
        <v>1300</v>
      </c>
      <c r="AF16" s="997" t="s">
        <v>269</v>
      </c>
      <c r="AG16" s="997" t="s">
        <v>268</v>
      </c>
      <c r="AH16" s="997" t="s">
        <v>1300</v>
      </c>
      <c r="AI16" s="997" t="s">
        <v>269</v>
      </c>
      <c r="AJ16" s="997" t="s">
        <v>268</v>
      </c>
      <c r="AK16" s="997" t="s">
        <v>1300</v>
      </c>
      <c r="AL16" s="997" t="s">
        <v>269</v>
      </c>
      <c r="AM16" s="997" t="s">
        <v>268</v>
      </c>
      <c r="AN16" s="997" t="s">
        <v>1300</v>
      </c>
      <c r="AO16" s="997" t="s">
        <v>269</v>
      </c>
      <c r="AP16" s="997" t="s">
        <v>268</v>
      </c>
      <c r="AQ16" s="997" t="s">
        <v>1300</v>
      </c>
      <c r="AR16" s="997" t="s">
        <v>269</v>
      </c>
      <c r="AS16" s="997" t="s">
        <v>268</v>
      </c>
      <c r="AT16" s="997" t="s">
        <v>1300</v>
      </c>
      <c r="AU16" s="997" t="s">
        <v>269</v>
      </c>
      <c r="AV16" s="997" t="s">
        <v>268</v>
      </c>
      <c r="AW16" s="997" t="s">
        <v>1300</v>
      </c>
      <c r="AX16" s="997" t="s">
        <v>269</v>
      </c>
      <c r="AY16" s="997" t="s">
        <v>268</v>
      </c>
      <c r="AZ16" s="997" t="s">
        <v>1300</v>
      </c>
      <c r="BA16" s="997" t="s">
        <v>269</v>
      </c>
      <c r="BB16" s="997" t="s">
        <v>268</v>
      </c>
      <c r="BC16" s="997" t="s">
        <v>1300</v>
      </c>
      <c r="BD16" s="997" t="s">
        <v>269</v>
      </c>
      <c r="BE16" s="997" t="s">
        <v>268</v>
      </c>
      <c r="BF16" s="997" t="s">
        <v>1300</v>
      </c>
      <c r="BG16" s="997" t="s">
        <v>269</v>
      </c>
      <c r="BH16" s="997" t="s">
        <v>268</v>
      </c>
      <c r="BI16" s="997" t="s">
        <v>1300</v>
      </c>
      <c r="BJ16" s="997" t="s">
        <v>269</v>
      </c>
      <c r="BK16" s="997" t="s">
        <v>268</v>
      </c>
      <c r="BL16" s="997" t="s">
        <v>1300</v>
      </c>
      <c r="BM16" s="997" t="s">
        <v>269</v>
      </c>
      <c r="BN16" s="997" t="s">
        <v>268</v>
      </c>
      <c r="BO16" s="997" t="s">
        <v>1300</v>
      </c>
      <c r="BP16" s="997" t="s">
        <v>269</v>
      </c>
      <c r="BQ16" s="997" t="s">
        <v>268</v>
      </c>
      <c r="BR16" s="997" t="s">
        <v>1300</v>
      </c>
      <c r="BS16" s="997" t="s">
        <v>269</v>
      </c>
      <c r="BT16" s="997" t="s">
        <v>268</v>
      </c>
      <c r="BU16" s="997" t="s">
        <v>1300</v>
      </c>
      <c r="BV16" s="997" t="s">
        <v>269</v>
      </c>
      <c r="BW16" s="997" t="s">
        <v>268</v>
      </c>
      <c r="BX16" s="997" t="s">
        <v>1300</v>
      </c>
      <c r="BY16" s="997" t="s">
        <v>269</v>
      </c>
      <c r="BZ16" s="997" t="s">
        <v>268</v>
      </c>
      <c r="CA16" s="997" t="s">
        <v>1300</v>
      </c>
      <c r="CB16" s="997" t="s">
        <v>269</v>
      </c>
      <c r="CC16" s="997" t="s">
        <v>268</v>
      </c>
      <c r="CD16" s="997" t="s">
        <v>1300</v>
      </c>
      <c r="CE16" s="997" t="s">
        <v>269</v>
      </c>
      <c r="CF16" s="997" t="s">
        <v>268</v>
      </c>
      <c r="CG16" s="997" t="s">
        <v>1300</v>
      </c>
      <c r="CH16" s="997" t="s">
        <v>269</v>
      </c>
      <c r="CI16" s="997" t="s">
        <v>268</v>
      </c>
      <c r="CJ16" s="997" t="s">
        <v>1300</v>
      </c>
      <c r="CK16" s="997" t="s">
        <v>269</v>
      </c>
      <c r="CL16" s="997" t="s">
        <v>268</v>
      </c>
      <c r="CM16" s="997" t="s">
        <v>1300</v>
      </c>
      <c r="CN16" s="997" t="s">
        <v>269</v>
      </c>
      <c r="CO16" s="997" t="s">
        <v>268</v>
      </c>
      <c r="CP16" s="997" t="s">
        <v>1300</v>
      </c>
      <c r="CQ16" s="997" t="s">
        <v>269</v>
      </c>
      <c r="CR16" s="997" t="s">
        <v>268</v>
      </c>
      <c r="CS16" s="997" t="s">
        <v>1300</v>
      </c>
      <c r="CT16" s="997" t="s">
        <v>269</v>
      </c>
      <c r="CU16" s="997" t="s">
        <v>268</v>
      </c>
      <c r="CV16" s="997" t="s">
        <v>1300</v>
      </c>
      <c r="CW16" s="997" t="s">
        <v>269</v>
      </c>
      <c r="CX16" s="997" t="s">
        <v>268</v>
      </c>
      <c r="CY16" s="997" t="s">
        <v>1300</v>
      </c>
      <c r="CZ16" s="997" t="s">
        <v>269</v>
      </c>
      <c r="DA16" s="997" t="s">
        <v>268</v>
      </c>
      <c r="DB16" s="997" t="s">
        <v>1300</v>
      </c>
      <c r="DC16" s="997" t="s">
        <v>269</v>
      </c>
      <c r="DD16" s="997" t="s">
        <v>268</v>
      </c>
      <c r="DE16" s="997" t="s">
        <v>1300</v>
      </c>
      <c r="DF16" s="997" t="s">
        <v>269</v>
      </c>
      <c r="DG16" s="997" t="s">
        <v>268</v>
      </c>
      <c r="DH16" s="997" t="s">
        <v>1300</v>
      </c>
      <c r="DI16" s="997" t="s">
        <v>269</v>
      </c>
      <c r="DJ16" s="997" t="s">
        <v>268</v>
      </c>
      <c r="DK16" s="997" t="s">
        <v>1300</v>
      </c>
      <c r="DL16" s="997" t="s">
        <v>269</v>
      </c>
      <c r="DM16" s="997" t="s">
        <v>268</v>
      </c>
      <c r="DN16" s="997" t="s">
        <v>1300</v>
      </c>
      <c r="DO16" s="997" t="s">
        <v>269</v>
      </c>
      <c r="DP16" s="997" t="s">
        <v>268</v>
      </c>
      <c r="DQ16" s="997" t="s">
        <v>1300</v>
      </c>
      <c r="DR16" s="997" t="s">
        <v>269</v>
      </c>
      <c r="DS16" s="997" t="s">
        <v>268</v>
      </c>
      <c r="DT16" s="997" t="s">
        <v>1300</v>
      </c>
      <c r="DU16" s="997" t="s">
        <v>269</v>
      </c>
      <c r="DV16" s="997" t="s">
        <v>268</v>
      </c>
      <c r="DW16" s="997" t="s">
        <v>1300</v>
      </c>
      <c r="DX16" s="997" t="s">
        <v>269</v>
      </c>
      <c r="DY16" s="997" t="s">
        <v>268</v>
      </c>
      <c r="DZ16" s="997" t="s">
        <v>1300</v>
      </c>
      <c r="EA16" s="997" t="s">
        <v>269</v>
      </c>
      <c r="EB16" s="997" t="s">
        <v>268</v>
      </c>
      <c r="EC16" s="997" t="s">
        <v>1300</v>
      </c>
      <c r="ED16" s="997" t="s">
        <v>269</v>
      </c>
      <c r="EE16" s="997" t="s">
        <v>268</v>
      </c>
      <c r="EF16" s="997" t="s">
        <v>1300</v>
      </c>
      <c r="EG16" s="997" t="s">
        <v>269</v>
      </c>
      <c r="EH16" s="997" t="s">
        <v>268</v>
      </c>
      <c r="EI16" s="997" t="s">
        <v>1300</v>
      </c>
      <c r="EJ16" s="997" t="s">
        <v>269</v>
      </c>
      <c r="EK16" s="997" t="s">
        <v>268</v>
      </c>
      <c r="EL16" s="997" t="s">
        <v>1300</v>
      </c>
      <c r="EM16" s="997" t="s">
        <v>269</v>
      </c>
      <c r="EN16" s="997" t="s">
        <v>268</v>
      </c>
      <c r="EO16" s="997" t="s">
        <v>1300</v>
      </c>
      <c r="EP16" s="997" t="s">
        <v>269</v>
      </c>
      <c r="EQ16" s="997" t="s">
        <v>268</v>
      </c>
      <c r="ER16" s="997" t="s">
        <v>1300</v>
      </c>
      <c r="ES16" s="997" t="s">
        <v>269</v>
      </c>
      <c r="ET16" s="997" t="s">
        <v>268</v>
      </c>
      <c r="EU16" s="997" t="s">
        <v>1300</v>
      </c>
      <c r="EV16" s="997" t="s">
        <v>269</v>
      </c>
      <c r="EW16" s="997" t="s">
        <v>268</v>
      </c>
      <c r="EX16" s="997" t="s">
        <v>1300</v>
      </c>
      <c r="EY16" s="997" t="s">
        <v>269</v>
      </c>
      <c r="EZ16" s="997" t="s">
        <v>268</v>
      </c>
      <c r="FA16" s="997" t="s">
        <v>1300</v>
      </c>
      <c r="FB16" s="997" t="s">
        <v>269</v>
      </c>
      <c r="FC16" s="997" t="s">
        <v>268</v>
      </c>
      <c r="FD16" s="997" t="s">
        <v>1300</v>
      </c>
      <c r="FE16" s="997" t="s">
        <v>269</v>
      </c>
      <c r="FF16" s="997" t="s">
        <v>268</v>
      </c>
      <c r="FG16" s="997" t="s">
        <v>1300</v>
      </c>
    </row>
    <row r="17" spans="1:163" ht="0.15" customHeight="1">
      <c r="A17" s="911"/>
      <c r="B17" s="911"/>
      <c r="C17" s="911"/>
      <c r="D17" s="911"/>
      <c r="E17" s="911"/>
      <c r="F17" s="911"/>
      <c r="G17" s="991" t="b">
        <v>0</v>
      </c>
      <c r="H17" s="911"/>
      <c r="I17" s="911"/>
      <c r="J17" s="911"/>
      <c r="K17" s="911"/>
      <c r="L17" s="998"/>
      <c r="M17" s="999"/>
      <c r="N17" s="1000"/>
      <c r="O17" s="1000"/>
      <c r="P17" s="1000"/>
      <c r="Q17" s="1000"/>
      <c r="R17" s="1000"/>
      <c r="S17" s="1000"/>
      <c r="T17" s="1000"/>
      <c r="U17" s="1000"/>
      <c r="V17" s="1000"/>
      <c r="W17" s="1000"/>
      <c r="X17" s="1000"/>
      <c r="Y17" s="1000"/>
      <c r="Z17" s="1000"/>
      <c r="AA17" s="1000"/>
      <c r="AB17" s="1000"/>
      <c r="AC17" s="1000"/>
      <c r="AD17" s="1000"/>
      <c r="AE17" s="1000"/>
      <c r="AF17" s="1000"/>
      <c r="AG17" s="1000"/>
      <c r="AH17" s="1000"/>
      <c r="AI17" s="1000"/>
      <c r="AJ17" s="1000"/>
      <c r="AK17" s="1000"/>
      <c r="AL17" s="1000"/>
      <c r="AM17" s="1000"/>
      <c r="AN17" s="1000"/>
      <c r="AO17" s="1000"/>
      <c r="AP17" s="1000"/>
      <c r="AQ17" s="1000"/>
      <c r="AR17" s="1000"/>
      <c r="AS17" s="1000"/>
      <c r="AT17" s="1000"/>
      <c r="AU17" s="1000"/>
      <c r="AV17" s="1000"/>
      <c r="AW17" s="1000"/>
      <c r="AX17" s="1000"/>
      <c r="AY17" s="1000"/>
      <c r="AZ17" s="1000"/>
      <c r="BA17" s="1000"/>
      <c r="BB17" s="1000"/>
      <c r="BC17" s="1000"/>
      <c r="BD17" s="1000"/>
      <c r="BE17" s="1000"/>
      <c r="BF17" s="1000"/>
      <c r="BG17" s="1000"/>
      <c r="BH17" s="1000"/>
      <c r="BI17" s="1000"/>
      <c r="BJ17" s="1000"/>
      <c r="BK17" s="1000"/>
      <c r="BL17" s="1000"/>
      <c r="BM17" s="1000"/>
      <c r="BN17" s="1000"/>
      <c r="BO17" s="1000"/>
      <c r="BP17" s="1000"/>
      <c r="BQ17" s="1000"/>
      <c r="BR17" s="1000"/>
      <c r="BS17" s="1000"/>
      <c r="BT17" s="1000"/>
      <c r="BU17" s="1000"/>
      <c r="BV17" s="1000"/>
      <c r="BW17" s="1000"/>
      <c r="BX17" s="1000"/>
      <c r="BY17" s="1000"/>
      <c r="BZ17" s="1000"/>
      <c r="CA17" s="1000"/>
      <c r="CB17" s="1000"/>
      <c r="CC17" s="1000"/>
      <c r="CD17" s="1000"/>
      <c r="CE17" s="1000"/>
      <c r="CF17" s="1000"/>
      <c r="CG17" s="1000"/>
      <c r="CH17" s="1000"/>
      <c r="CI17" s="1000"/>
      <c r="CJ17" s="1000"/>
      <c r="CK17" s="1000"/>
      <c r="CL17" s="1000"/>
      <c r="CM17" s="1000"/>
      <c r="CN17" s="1000"/>
      <c r="CO17" s="1000"/>
      <c r="CP17" s="1000"/>
      <c r="CQ17" s="1000"/>
      <c r="CR17" s="1000"/>
      <c r="CS17" s="1000"/>
      <c r="CT17" s="1000"/>
      <c r="CU17" s="1000"/>
      <c r="CV17" s="1000"/>
      <c r="CW17" s="1000"/>
      <c r="CX17" s="1000"/>
      <c r="CY17" s="1000"/>
      <c r="CZ17" s="1000"/>
      <c r="DA17" s="1000"/>
      <c r="DB17" s="1000"/>
      <c r="DC17" s="1000"/>
      <c r="DD17" s="1000"/>
      <c r="DE17" s="1000"/>
      <c r="DF17" s="1000"/>
      <c r="DG17" s="1000"/>
      <c r="DH17" s="1000"/>
      <c r="DI17" s="1000"/>
      <c r="DJ17" s="1000"/>
      <c r="DK17" s="1000"/>
      <c r="DL17" s="1000"/>
      <c r="DM17" s="1000"/>
      <c r="DN17" s="1000"/>
      <c r="DO17" s="1000"/>
      <c r="DP17" s="1000"/>
      <c r="DQ17" s="1000"/>
      <c r="DR17" s="1000"/>
      <c r="DS17" s="1000"/>
      <c r="DT17" s="1000"/>
      <c r="DU17" s="1000"/>
      <c r="DV17" s="1000"/>
      <c r="DW17" s="1000"/>
      <c r="DX17" s="1000"/>
      <c r="DY17" s="1000"/>
      <c r="DZ17" s="1000"/>
      <c r="EA17" s="1000"/>
      <c r="EB17" s="1000"/>
      <c r="EC17" s="1000"/>
      <c r="ED17" s="1000"/>
      <c r="EE17" s="1000"/>
      <c r="EF17" s="1000"/>
      <c r="EG17" s="1000"/>
      <c r="EH17" s="1000"/>
      <c r="EI17" s="1000"/>
      <c r="EJ17" s="1000"/>
      <c r="EK17" s="1000"/>
      <c r="EL17" s="1000"/>
      <c r="EM17" s="1000"/>
      <c r="EN17" s="1000"/>
      <c r="EO17" s="1000"/>
      <c r="EP17" s="1000"/>
      <c r="EQ17" s="1000"/>
      <c r="ER17" s="1000"/>
      <c r="ES17" s="1000"/>
      <c r="ET17" s="1000"/>
      <c r="EU17" s="1000"/>
      <c r="EV17" s="1000"/>
      <c r="EW17" s="1000"/>
      <c r="EX17" s="1000"/>
      <c r="EY17" s="1000"/>
      <c r="EZ17" s="1000"/>
      <c r="FA17" s="1000"/>
      <c r="FB17" s="1000"/>
      <c r="FC17" s="1000"/>
      <c r="FD17" s="1000"/>
      <c r="FE17" s="1000"/>
      <c r="FF17" s="1000"/>
      <c r="FG17" s="1000"/>
    </row>
    <row r="18" spans="1:163" s="292" customFormat="1" ht="20.399999999999999">
      <c r="A18" s="991"/>
      <c r="B18" s="991"/>
      <c r="C18" s="991"/>
      <c r="D18" s="991"/>
      <c r="E18" s="991"/>
      <c r="F18" s="991"/>
      <c r="G18" s="991" t="b">
        <v>1</v>
      </c>
      <c r="H18" s="991"/>
      <c r="I18" s="991"/>
      <c r="J18" s="991"/>
      <c r="K18" s="993"/>
      <c r="L18" s="994" t="s">
        <v>675</v>
      </c>
      <c r="M18" s="995"/>
      <c r="N18" s="995"/>
      <c r="O18" s="995"/>
      <c r="P18" s="995"/>
      <c r="Q18" s="995"/>
      <c r="R18" s="995"/>
      <c r="S18" s="995"/>
      <c r="T18" s="995"/>
      <c r="U18" s="995"/>
      <c r="V18" s="995"/>
      <c r="W18" s="995"/>
      <c r="X18" s="995"/>
      <c r="Y18" s="995"/>
      <c r="Z18" s="995"/>
      <c r="AA18" s="995"/>
      <c r="AB18" s="995"/>
      <c r="AC18" s="995"/>
      <c r="AD18" s="995"/>
      <c r="AE18" s="995"/>
      <c r="AF18" s="995"/>
      <c r="AG18" s="995"/>
      <c r="AH18" s="995"/>
      <c r="AI18" s="995"/>
      <c r="AJ18" s="995"/>
      <c r="AK18" s="995"/>
      <c r="AL18" s="995"/>
      <c r="AM18" s="995"/>
      <c r="AN18" s="995"/>
      <c r="AO18" s="995"/>
      <c r="AP18" s="995"/>
      <c r="AQ18" s="996"/>
      <c r="AR18" s="996"/>
      <c r="AS18" s="996"/>
      <c r="AT18" s="996"/>
      <c r="AU18" s="996"/>
      <c r="AV18" s="996"/>
      <c r="AW18" s="996"/>
      <c r="AX18" s="996"/>
      <c r="AY18" s="996"/>
      <c r="AZ18" s="996"/>
      <c r="BA18" s="996"/>
      <c r="BB18" s="996"/>
      <c r="BC18" s="996"/>
      <c r="BD18" s="996"/>
      <c r="BE18" s="996"/>
      <c r="BF18" s="996"/>
      <c r="BG18" s="996"/>
      <c r="BH18" s="996"/>
      <c r="BI18" s="996"/>
      <c r="BJ18" s="996"/>
      <c r="BK18" s="996"/>
      <c r="BL18" s="996"/>
      <c r="BM18" s="996"/>
      <c r="BN18" s="996"/>
      <c r="BO18" s="996"/>
      <c r="BP18" s="996"/>
      <c r="BQ18" s="996"/>
      <c r="BR18" s="996"/>
      <c r="BS18" s="996"/>
      <c r="BT18" s="996"/>
      <c r="BU18" s="996"/>
      <c r="BV18" s="996"/>
      <c r="BW18" s="996"/>
      <c r="BX18" s="996"/>
      <c r="BY18" s="996"/>
      <c r="BZ18" s="996"/>
      <c r="CA18" s="996"/>
      <c r="CB18" s="996"/>
      <c r="CC18" s="996"/>
      <c r="CD18" s="996"/>
      <c r="CE18" s="996"/>
      <c r="CF18" s="996"/>
      <c r="CG18" s="996"/>
      <c r="CH18" s="996"/>
      <c r="CI18" s="996"/>
      <c r="CJ18" s="996"/>
      <c r="CK18" s="996"/>
      <c r="CL18" s="996"/>
      <c r="CM18" s="996"/>
      <c r="CN18" s="996"/>
      <c r="CO18" s="996"/>
      <c r="CP18" s="996"/>
      <c r="CQ18" s="996"/>
      <c r="CR18" s="996"/>
      <c r="CS18" s="996"/>
      <c r="CT18" s="996"/>
      <c r="CU18" s="996"/>
      <c r="CV18" s="996"/>
      <c r="CW18" s="996"/>
      <c r="CX18" s="996"/>
      <c r="CY18" s="996"/>
      <c r="CZ18" s="996"/>
      <c r="DA18" s="996"/>
      <c r="DB18" s="996"/>
      <c r="DC18" s="996"/>
      <c r="DD18" s="996"/>
      <c r="DE18" s="996"/>
      <c r="DF18" s="996"/>
      <c r="DG18" s="996"/>
      <c r="DH18" s="996"/>
      <c r="DI18" s="996"/>
      <c r="DJ18" s="996"/>
      <c r="DK18" s="996"/>
      <c r="DL18" s="996"/>
      <c r="DM18" s="996"/>
      <c r="DN18" s="996"/>
      <c r="DO18" s="996"/>
      <c r="DP18" s="996"/>
      <c r="DQ18" s="996"/>
      <c r="DR18" s="996"/>
      <c r="DS18" s="996"/>
      <c r="DT18" s="996"/>
      <c r="DU18" s="996"/>
      <c r="DV18" s="996"/>
      <c r="DW18" s="996"/>
      <c r="DX18" s="996"/>
      <c r="DY18" s="996"/>
      <c r="DZ18" s="996"/>
      <c r="EA18" s="996"/>
      <c r="EB18" s="996"/>
      <c r="EC18" s="996"/>
      <c r="ED18" s="996"/>
      <c r="EE18" s="996"/>
      <c r="EF18" s="996"/>
      <c r="EG18" s="996"/>
      <c r="EH18" s="996"/>
      <c r="EI18" s="996"/>
      <c r="EJ18" s="996"/>
      <c r="EK18" s="996"/>
      <c r="EL18" s="996"/>
      <c r="EM18" s="996"/>
      <c r="EN18" s="996"/>
      <c r="EO18" s="996"/>
      <c r="EP18" s="996"/>
      <c r="EQ18" s="996"/>
      <c r="ER18" s="996"/>
      <c r="ES18" s="996"/>
      <c r="ET18" s="996"/>
      <c r="EU18" s="996"/>
      <c r="EV18" s="996"/>
      <c r="EW18" s="996"/>
      <c r="EX18" s="996"/>
      <c r="EY18" s="996"/>
      <c r="EZ18" s="996"/>
      <c r="FA18" s="996"/>
      <c r="FB18" s="996"/>
      <c r="FC18" s="996"/>
      <c r="FD18" s="996"/>
      <c r="FE18" s="996"/>
      <c r="FF18" s="996"/>
      <c r="FG18" s="996"/>
    </row>
    <row r="19" spans="1:163" s="569" customFormat="1">
      <c r="A19" s="911"/>
      <c r="B19" s="911"/>
      <c r="C19" s="911"/>
      <c r="D19" s="911"/>
      <c r="E19" s="911"/>
      <c r="F19" s="911"/>
      <c r="G19" s="991" t="b">
        <v>1</v>
      </c>
      <c r="H19" s="911"/>
      <c r="I19" s="911"/>
      <c r="J19" s="911"/>
      <c r="K19" s="911"/>
      <c r="L19" s="1137" t="s">
        <v>121</v>
      </c>
      <c r="M19" s="1137" t="s">
        <v>135</v>
      </c>
      <c r="N19" s="1171" t="s">
        <v>3012</v>
      </c>
      <c r="O19" s="1172"/>
      <c r="P19" s="1173"/>
      <c r="Q19" s="1171" t="s">
        <v>3046</v>
      </c>
      <c r="R19" s="1172"/>
      <c r="S19" s="1173"/>
      <c r="T19" s="1171" t="s">
        <v>3047</v>
      </c>
      <c r="U19" s="1172"/>
      <c r="V19" s="1173"/>
      <c r="W19" s="1171" t="s">
        <v>3048</v>
      </c>
      <c r="X19" s="1172"/>
      <c r="Y19" s="1173"/>
      <c r="Z19" s="1171" t="s">
        <v>3049</v>
      </c>
      <c r="AA19" s="1172"/>
      <c r="AB19" s="1173"/>
      <c r="AC19" s="1171" t="s">
        <v>3050</v>
      </c>
      <c r="AD19" s="1172"/>
      <c r="AE19" s="1173"/>
      <c r="AF19" s="1171" t="s">
        <v>3051</v>
      </c>
      <c r="AG19" s="1172"/>
      <c r="AH19" s="1173"/>
      <c r="AI19" s="1171" t="s">
        <v>3052</v>
      </c>
      <c r="AJ19" s="1172"/>
      <c r="AK19" s="1173"/>
      <c r="AL19" s="1171" t="s">
        <v>3053</v>
      </c>
      <c r="AM19" s="1172"/>
      <c r="AN19" s="1173"/>
      <c r="AO19" s="1171" t="s">
        <v>3054</v>
      </c>
      <c r="AP19" s="1172"/>
      <c r="AQ19" s="1173"/>
      <c r="AR19" s="1171" t="s">
        <v>3203</v>
      </c>
      <c r="AS19" s="1172"/>
      <c r="AT19" s="1173"/>
      <c r="AU19" s="1171" t="s">
        <v>3204</v>
      </c>
      <c r="AV19" s="1172"/>
      <c r="AW19" s="1173"/>
      <c r="AX19" s="1171" t="s">
        <v>3205</v>
      </c>
      <c r="AY19" s="1172"/>
      <c r="AZ19" s="1173"/>
      <c r="BA19" s="1171" t="s">
        <v>3206</v>
      </c>
      <c r="BB19" s="1172"/>
      <c r="BC19" s="1173"/>
      <c r="BD19" s="1171" t="s">
        <v>3207</v>
      </c>
      <c r="BE19" s="1172"/>
      <c r="BF19" s="1173"/>
      <c r="BG19" s="1171" t="s">
        <v>3208</v>
      </c>
      <c r="BH19" s="1172"/>
      <c r="BI19" s="1173"/>
      <c r="BJ19" s="1171" t="s">
        <v>3209</v>
      </c>
      <c r="BK19" s="1172"/>
      <c r="BL19" s="1173"/>
      <c r="BM19" s="1171" t="s">
        <v>3210</v>
      </c>
      <c r="BN19" s="1172"/>
      <c r="BO19" s="1173"/>
      <c r="BP19" s="1171" t="s">
        <v>3211</v>
      </c>
      <c r="BQ19" s="1172"/>
      <c r="BR19" s="1173"/>
      <c r="BS19" s="1171" t="s">
        <v>3212</v>
      </c>
      <c r="BT19" s="1172"/>
      <c r="BU19" s="1173"/>
      <c r="BV19" s="1171" t="s">
        <v>3213</v>
      </c>
      <c r="BW19" s="1172"/>
      <c r="BX19" s="1173"/>
      <c r="BY19" s="1171" t="s">
        <v>3214</v>
      </c>
      <c r="BZ19" s="1172"/>
      <c r="CA19" s="1173"/>
      <c r="CB19" s="1171" t="s">
        <v>3215</v>
      </c>
      <c r="CC19" s="1172"/>
      <c r="CD19" s="1173"/>
      <c r="CE19" s="1171" t="s">
        <v>3216</v>
      </c>
      <c r="CF19" s="1172"/>
      <c r="CG19" s="1173"/>
      <c r="CH19" s="1171" t="s">
        <v>3217</v>
      </c>
      <c r="CI19" s="1172"/>
      <c r="CJ19" s="1173"/>
      <c r="CK19" s="1171" t="s">
        <v>3218</v>
      </c>
      <c r="CL19" s="1172"/>
      <c r="CM19" s="1173"/>
      <c r="CN19" s="1171" t="s">
        <v>3219</v>
      </c>
      <c r="CO19" s="1172"/>
      <c r="CP19" s="1173"/>
      <c r="CQ19" s="1171" t="s">
        <v>3220</v>
      </c>
      <c r="CR19" s="1172"/>
      <c r="CS19" s="1173"/>
      <c r="CT19" s="1171" t="s">
        <v>3221</v>
      </c>
      <c r="CU19" s="1172"/>
      <c r="CV19" s="1173"/>
      <c r="CW19" s="1171" t="s">
        <v>3222</v>
      </c>
      <c r="CX19" s="1172"/>
      <c r="CY19" s="1173"/>
      <c r="CZ19" s="1171" t="s">
        <v>3223</v>
      </c>
      <c r="DA19" s="1172"/>
      <c r="DB19" s="1173"/>
      <c r="DC19" s="1171" t="s">
        <v>3224</v>
      </c>
      <c r="DD19" s="1172"/>
      <c r="DE19" s="1173"/>
      <c r="DF19" s="1171" t="s">
        <v>3225</v>
      </c>
      <c r="DG19" s="1172"/>
      <c r="DH19" s="1173"/>
      <c r="DI19" s="1171" t="s">
        <v>3226</v>
      </c>
      <c r="DJ19" s="1172"/>
      <c r="DK19" s="1173"/>
      <c r="DL19" s="1171" t="s">
        <v>3227</v>
      </c>
      <c r="DM19" s="1172"/>
      <c r="DN19" s="1173"/>
      <c r="DO19" s="1171" t="s">
        <v>3228</v>
      </c>
      <c r="DP19" s="1172"/>
      <c r="DQ19" s="1173"/>
      <c r="DR19" s="1171" t="s">
        <v>3229</v>
      </c>
      <c r="DS19" s="1172"/>
      <c r="DT19" s="1173"/>
      <c r="DU19" s="1171" t="s">
        <v>3230</v>
      </c>
      <c r="DV19" s="1172"/>
      <c r="DW19" s="1173"/>
      <c r="DX19" s="1171" t="s">
        <v>3231</v>
      </c>
      <c r="DY19" s="1172"/>
      <c r="DZ19" s="1173"/>
      <c r="EA19" s="1171" t="s">
        <v>3232</v>
      </c>
      <c r="EB19" s="1172"/>
      <c r="EC19" s="1173"/>
      <c r="ED19" s="1171" t="s">
        <v>3233</v>
      </c>
      <c r="EE19" s="1172"/>
      <c r="EF19" s="1173"/>
      <c r="EG19" s="1171" t="s">
        <v>3234</v>
      </c>
      <c r="EH19" s="1172"/>
      <c r="EI19" s="1173"/>
      <c r="EJ19" s="1171" t="s">
        <v>3235</v>
      </c>
      <c r="EK19" s="1172"/>
      <c r="EL19" s="1173"/>
      <c r="EM19" s="1171" t="s">
        <v>3236</v>
      </c>
      <c r="EN19" s="1172"/>
      <c r="EO19" s="1173"/>
      <c r="EP19" s="1171" t="s">
        <v>3237</v>
      </c>
      <c r="EQ19" s="1172"/>
      <c r="ER19" s="1173"/>
      <c r="ES19" s="1171" t="s">
        <v>3238</v>
      </c>
      <c r="ET19" s="1172"/>
      <c r="EU19" s="1173"/>
      <c r="EV19" s="1171" t="s">
        <v>3239</v>
      </c>
      <c r="EW19" s="1172"/>
      <c r="EX19" s="1173"/>
      <c r="EY19" s="1171" t="s">
        <v>3240</v>
      </c>
      <c r="EZ19" s="1172"/>
      <c r="FA19" s="1173"/>
      <c r="FB19" s="1171" t="s">
        <v>3241</v>
      </c>
      <c r="FC19" s="1172"/>
      <c r="FD19" s="1173"/>
      <c r="FE19" s="1171" t="s">
        <v>3242</v>
      </c>
      <c r="FF19" s="1172"/>
      <c r="FG19" s="1173"/>
    </row>
    <row r="20" spans="1:163" ht="34.200000000000003">
      <c r="A20" s="911"/>
      <c r="B20" s="911"/>
      <c r="C20" s="911"/>
      <c r="D20" s="911"/>
      <c r="E20" s="911"/>
      <c r="F20" s="911"/>
      <c r="G20" s="991" t="b">
        <v>1</v>
      </c>
      <c r="H20" s="911"/>
      <c r="I20" s="911"/>
      <c r="J20" s="911"/>
      <c r="K20" s="911"/>
      <c r="L20" s="1137"/>
      <c r="M20" s="1137"/>
      <c r="N20" s="909" t="s">
        <v>269</v>
      </c>
      <c r="O20" s="909" t="s">
        <v>268</v>
      </c>
      <c r="P20" s="909" t="s">
        <v>1300</v>
      </c>
      <c r="Q20" s="909" t="s">
        <v>269</v>
      </c>
      <c r="R20" s="909" t="s">
        <v>268</v>
      </c>
      <c r="S20" s="909" t="s">
        <v>1300</v>
      </c>
      <c r="T20" s="909" t="s">
        <v>269</v>
      </c>
      <c r="U20" s="909" t="s">
        <v>268</v>
      </c>
      <c r="V20" s="909" t="s">
        <v>1300</v>
      </c>
      <c r="W20" s="909" t="s">
        <v>269</v>
      </c>
      <c r="X20" s="909" t="s">
        <v>268</v>
      </c>
      <c r="Y20" s="909" t="s">
        <v>1300</v>
      </c>
      <c r="Z20" s="909" t="s">
        <v>269</v>
      </c>
      <c r="AA20" s="909" t="s">
        <v>268</v>
      </c>
      <c r="AB20" s="909" t="s">
        <v>1300</v>
      </c>
      <c r="AC20" s="909" t="s">
        <v>269</v>
      </c>
      <c r="AD20" s="909" t="s">
        <v>268</v>
      </c>
      <c r="AE20" s="909" t="s">
        <v>1300</v>
      </c>
      <c r="AF20" s="909" t="s">
        <v>269</v>
      </c>
      <c r="AG20" s="909" t="s">
        <v>268</v>
      </c>
      <c r="AH20" s="909" t="s">
        <v>1300</v>
      </c>
      <c r="AI20" s="909" t="s">
        <v>269</v>
      </c>
      <c r="AJ20" s="909" t="s">
        <v>268</v>
      </c>
      <c r="AK20" s="909" t="s">
        <v>1300</v>
      </c>
      <c r="AL20" s="909" t="s">
        <v>269</v>
      </c>
      <c r="AM20" s="909" t="s">
        <v>268</v>
      </c>
      <c r="AN20" s="909" t="s">
        <v>1300</v>
      </c>
      <c r="AO20" s="909" t="s">
        <v>269</v>
      </c>
      <c r="AP20" s="909" t="s">
        <v>268</v>
      </c>
      <c r="AQ20" s="909" t="s">
        <v>1300</v>
      </c>
      <c r="AR20" s="909" t="s">
        <v>269</v>
      </c>
      <c r="AS20" s="909" t="s">
        <v>268</v>
      </c>
      <c r="AT20" s="909" t="s">
        <v>1300</v>
      </c>
      <c r="AU20" s="909" t="s">
        <v>269</v>
      </c>
      <c r="AV20" s="909" t="s">
        <v>268</v>
      </c>
      <c r="AW20" s="909" t="s">
        <v>1300</v>
      </c>
      <c r="AX20" s="909" t="s">
        <v>269</v>
      </c>
      <c r="AY20" s="909" t="s">
        <v>268</v>
      </c>
      <c r="AZ20" s="909" t="s">
        <v>1300</v>
      </c>
      <c r="BA20" s="909" t="s">
        <v>269</v>
      </c>
      <c r="BB20" s="909" t="s">
        <v>268</v>
      </c>
      <c r="BC20" s="909" t="s">
        <v>1300</v>
      </c>
      <c r="BD20" s="909" t="s">
        <v>269</v>
      </c>
      <c r="BE20" s="909" t="s">
        <v>268</v>
      </c>
      <c r="BF20" s="909" t="s">
        <v>1300</v>
      </c>
      <c r="BG20" s="909" t="s">
        <v>269</v>
      </c>
      <c r="BH20" s="909" t="s">
        <v>268</v>
      </c>
      <c r="BI20" s="909" t="s">
        <v>1300</v>
      </c>
      <c r="BJ20" s="909" t="s">
        <v>269</v>
      </c>
      <c r="BK20" s="909" t="s">
        <v>268</v>
      </c>
      <c r="BL20" s="909" t="s">
        <v>1300</v>
      </c>
      <c r="BM20" s="909" t="s">
        <v>269</v>
      </c>
      <c r="BN20" s="909" t="s">
        <v>268</v>
      </c>
      <c r="BO20" s="909" t="s">
        <v>1300</v>
      </c>
      <c r="BP20" s="909" t="s">
        <v>269</v>
      </c>
      <c r="BQ20" s="909" t="s">
        <v>268</v>
      </c>
      <c r="BR20" s="909" t="s">
        <v>1300</v>
      </c>
      <c r="BS20" s="909" t="s">
        <v>269</v>
      </c>
      <c r="BT20" s="909" t="s">
        <v>268</v>
      </c>
      <c r="BU20" s="909" t="s">
        <v>1300</v>
      </c>
      <c r="BV20" s="909" t="s">
        <v>269</v>
      </c>
      <c r="BW20" s="909" t="s">
        <v>268</v>
      </c>
      <c r="BX20" s="909" t="s">
        <v>1300</v>
      </c>
      <c r="BY20" s="909" t="s">
        <v>269</v>
      </c>
      <c r="BZ20" s="909" t="s">
        <v>268</v>
      </c>
      <c r="CA20" s="909" t="s">
        <v>1300</v>
      </c>
      <c r="CB20" s="909" t="s">
        <v>269</v>
      </c>
      <c r="CC20" s="909" t="s">
        <v>268</v>
      </c>
      <c r="CD20" s="909" t="s">
        <v>1300</v>
      </c>
      <c r="CE20" s="909" t="s">
        <v>269</v>
      </c>
      <c r="CF20" s="909" t="s">
        <v>268</v>
      </c>
      <c r="CG20" s="909" t="s">
        <v>1300</v>
      </c>
      <c r="CH20" s="909" t="s">
        <v>269</v>
      </c>
      <c r="CI20" s="909" t="s">
        <v>268</v>
      </c>
      <c r="CJ20" s="909" t="s">
        <v>1300</v>
      </c>
      <c r="CK20" s="909" t="s">
        <v>269</v>
      </c>
      <c r="CL20" s="909" t="s">
        <v>268</v>
      </c>
      <c r="CM20" s="909" t="s">
        <v>1300</v>
      </c>
      <c r="CN20" s="909" t="s">
        <v>269</v>
      </c>
      <c r="CO20" s="909" t="s">
        <v>268</v>
      </c>
      <c r="CP20" s="909" t="s">
        <v>1300</v>
      </c>
      <c r="CQ20" s="909" t="s">
        <v>269</v>
      </c>
      <c r="CR20" s="909" t="s">
        <v>268</v>
      </c>
      <c r="CS20" s="909" t="s">
        <v>1300</v>
      </c>
      <c r="CT20" s="909" t="s">
        <v>269</v>
      </c>
      <c r="CU20" s="909" t="s">
        <v>268</v>
      </c>
      <c r="CV20" s="909" t="s">
        <v>1300</v>
      </c>
      <c r="CW20" s="909" t="s">
        <v>269</v>
      </c>
      <c r="CX20" s="909" t="s">
        <v>268</v>
      </c>
      <c r="CY20" s="909" t="s">
        <v>1300</v>
      </c>
      <c r="CZ20" s="909" t="s">
        <v>269</v>
      </c>
      <c r="DA20" s="909" t="s">
        <v>268</v>
      </c>
      <c r="DB20" s="909" t="s">
        <v>1300</v>
      </c>
      <c r="DC20" s="909" t="s">
        <v>269</v>
      </c>
      <c r="DD20" s="909" t="s">
        <v>268</v>
      </c>
      <c r="DE20" s="909" t="s">
        <v>1300</v>
      </c>
      <c r="DF20" s="909" t="s">
        <v>269</v>
      </c>
      <c r="DG20" s="909" t="s">
        <v>268</v>
      </c>
      <c r="DH20" s="909" t="s">
        <v>1300</v>
      </c>
      <c r="DI20" s="909" t="s">
        <v>269</v>
      </c>
      <c r="DJ20" s="909" t="s">
        <v>268</v>
      </c>
      <c r="DK20" s="909" t="s">
        <v>1300</v>
      </c>
      <c r="DL20" s="909" t="s">
        <v>269</v>
      </c>
      <c r="DM20" s="909" t="s">
        <v>268</v>
      </c>
      <c r="DN20" s="909" t="s">
        <v>1300</v>
      </c>
      <c r="DO20" s="909" t="s">
        <v>269</v>
      </c>
      <c r="DP20" s="909" t="s">
        <v>268</v>
      </c>
      <c r="DQ20" s="909" t="s">
        <v>1300</v>
      </c>
      <c r="DR20" s="909" t="s">
        <v>269</v>
      </c>
      <c r="DS20" s="909" t="s">
        <v>268</v>
      </c>
      <c r="DT20" s="909" t="s">
        <v>1300</v>
      </c>
      <c r="DU20" s="909" t="s">
        <v>269</v>
      </c>
      <c r="DV20" s="909" t="s">
        <v>268</v>
      </c>
      <c r="DW20" s="909" t="s">
        <v>1300</v>
      </c>
      <c r="DX20" s="909" t="s">
        <v>269</v>
      </c>
      <c r="DY20" s="909" t="s">
        <v>268</v>
      </c>
      <c r="DZ20" s="909" t="s">
        <v>1300</v>
      </c>
      <c r="EA20" s="909" t="s">
        <v>269</v>
      </c>
      <c r="EB20" s="909" t="s">
        <v>268</v>
      </c>
      <c r="EC20" s="909" t="s">
        <v>1300</v>
      </c>
      <c r="ED20" s="909" t="s">
        <v>269</v>
      </c>
      <c r="EE20" s="909" t="s">
        <v>268</v>
      </c>
      <c r="EF20" s="909" t="s">
        <v>1300</v>
      </c>
      <c r="EG20" s="909" t="s">
        <v>269</v>
      </c>
      <c r="EH20" s="909" t="s">
        <v>268</v>
      </c>
      <c r="EI20" s="909" t="s">
        <v>1300</v>
      </c>
      <c r="EJ20" s="909" t="s">
        <v>269</v>
      </c>
      <c r="EK20" s="909" t="s">
        <v>268</v>
      </c>
      <c r="EL20" s="909" t="s">
        <v>1300</v>
      </c>
      <c r="EM20" s="909" t="s">
        <v>269</v>
      </c>
      <c r="EN20" s="909" t="s">
        <v>268</v>
      </c>
      <c r="EO20" s="909" t="s">
        <v>1300</v>
      </c>
      <c r="EP20" s="909" t="s">
        <v>269</v>
      </c>
      <c r="EQ20" s="909" t="s">
        <v>268</v>
      </c>
      <c r="ER20" s="909" t="s">
        <v>1300</v>
      </c>
      <c r="ES20" s="909" t="s">
        <v>269</v>
      </c>
      <c r="ET20" s="909" t="s">
        <v>268</v>
      </c>
      <c r="EU20" s="909" t="s">
        <v>1300</v>
      </c>
      <c r="EV20" s="909" t="s">
        <v>269</v>
      </c>
      <c r="EW20" s="909" t="s">
        <v>268</v>
      </c>
      <c r="EX20" s="909" t="s">
        <v>1300</v>
      </c>
      <c r="EY20" s="909" t="s">
        <v>269</v>
      </c>
      <c r="EZ20" s="909" t="s">
        <v>268</v>
      </c>
      <c r="FA20" s="909" t="s">
        <v>1300</v>
      </c>
      <c r="FB20" s="909" t="s">
        <v>269</v>
      </c>
      <c r="FC20" s="909" t="s">
        <v>268</v>
      </c>
      <c r="FD20" s="909" t="s">
        <v>1300</v>
      </c>
      <c r="FE20" s="909" t="s">
        <v>269</v>
      </c>
      <c r="FF20" s="909" t="s">
        <v>268</v>
      </c>
      <c r="FG20" s="1001" t="s">
        <v>1300</v>
      </c>
    </row>
    <row r="21" spans="1:163" s="600" customFormat="1">
      <c r="A21" s="788" t="s">
        <v>18</v>
      </c>
      <c r="B21" s="911"/>
      <c r="C21" s="911"/>
      <c r="D21" s="911"/>
      <c r="E21" s="911"/>
      <c r="F21" s="911"/>
      <c r="G21" s="911"/>
      <c r="H21" s="911"/>
      <c r="I21" s="911"/>
      <c r="J21" s="911"/>
      <c r="K21" s="911"/>
      <c r="L21" s="1176" t="s">
        <v>16</v>
      </c>
      <c r="M21" s="1177"/>
      <c r="N21" s="1002" t="s">
        <v>3004</v>
      </c>
      <c r="O21" s="1003"/>
      <c r="P21" s="1003"/>
      <c r="Q21" s="1003"/>
      <c r="R21" s="1003"/>
      <c r="S21" s="1003"/>
      <c r="T21" s="1003"/>
      <c r="U21" s="1003"/>
      <c r="V21" s="1003"/>
      <c r="W21" s="1003"/>
      <c r="X21" s="1003"/>
      <c r="Y21" s="1003"/>
      <c r="Z21" s="1003"/>
      <c r="AA21" s="1003"/>
      <c r="AB21" s="1003"/>
      <c r="AC21" s="1003"/>
      <c r="AD21" s="1003"/>
      <c r="AE21" s="1003"/>
      <c r="AF21" s="1003"/>
      <c r="AG21" s="1003"/>
      <c r="AH21" s="1003"/>
      <c r="AI21" s="1003"/>
      <c r="AJ21" s="1003"/>
      <c r="AK21" s="1003"/>
      <c r="AL21" s="1003"/>
      <c r="AM21" s="1003"/>
      <c r="AN21" s="1003"/>
      <c r="AO21" s="1003"/>
      <c r="AP21" s="1003"/>
      <c r="AQ21" s="1003"/>
      <c r="AR21" s="1003"/>
      <c r="AS21" s="1003"/>
      <c r="AT21" s="1003"/>
      <c r="AU21" s="1003"/>
      <c r="AV21" s="1003"/>
      <c r="AW21" s="1003"/>
      <c r="AX21" s="1003"/>
      <c r="AY21" s="1003"/>
      <c r="AZ21" s="1003"/>
      <c r="BA21" s="1003"/>
      <c r="BB21" s="1003"/>
      <c r="BC21" s="1003"/>
      <c r="BD21" s="1003"/>
      <c r="BE21" s="1003"/>
      <c r="BF21" s="1003"/>
      <c r="BG21" s="1003"/>
      <c r="BH21" s="1003"/>
      <c r="BI21" s="1003"/>
      <c r="BJ21" s="1003"/>
      <c r="BK21" s="1003"/>
      <c r="BL21" s="1003"/>
      <c r="BM21" s="1003"/>
      <c r="BN21" s="1003"/>
      <c r="BO21" s="1003"/>
      <c r="BP21" s="1003"/>
      <c r="BQ21" s="1003"/>
      <c r="BR21" s="1003"/>
      <c r="BS21" s="1003"/>
      <c r="BT21" s="1003"/>
      <c r="BU21" s="1003"/>
      <c r="BV21" s="1003"/>
      <c r="BW21" s="1003"/>
      <c r="BX21" s="1003"/>
      <c r="BY21" s="1003"/>
      <c r="BZ21" s="1003"/>
      <c r="CA21" s="1003"/>
      <c r="CB21" s="1003"/>
      <c r="CC21" s="1003"/>
      <c r="CD21" s="1003"/>
      <c r="CE21" s="1003"/>
      <c r="CF21" s="1003"/>
      <c r="CG21" s="1003"/>
      <c r="CH21" s="1003"/>
      <c r="CI21" s="1003"/>
      <c r="CJ21" s="1003"/>
      <c r="CK21" s="1003"/>
      <c r="CL21" s="1003"/>
      <c r="CM21" s="1003"/>
      <c r="CN21" s="1003"/>
      <c r="CO21" s="1003"/>
      <c r="CP21" s="1003"/>
      <c r="CQ21" s="1003"/>
      <c r="CR21" s="1003"/>
      <c r="CS21" s="1003"/>
      <c r="CT21" s="1003"/>
      <c r="CU21" s="1003"/>
      <c r="CV21" s="1003"/>
      <c r="CW21" s="1003"/>
      <c r="CX21" s="1003"/>
      <c r="CY21" s="1003"/>
      <c r="CZ21" s="1003"/>
      <c r="DA21" s="1003"/>
      <c r="DB21" s="1003"/>
      <c r="DC21" s="1003"/>
      <c r="DD21" s="1003"/>
      <c r="DE21" s="1003"/>
      <c r="DF21" s="1003"/>
      <c r="DG21" s="1003"/>
      <c r="DH21" s="1003"/>
      <c r="DI21" s="1003"/>
      <c r="DJ21" s="1003"/>
      <c r="DK21" s="1003"/>
      <c r="DL21" s="1003"/>
      <c r="DM21" s="1003"/>
      <c r="DN21" s="1003"/>
      <c r="DO21" s="1003"/>
      <c r="DP21" s="1003"/>
      <c r="DQ21" s="1003"/>
      <c r="DR21" s="1003"/>
      <c r="DS21" s="1003"/>
      <c r="DT21" s="1003"/>
      <c r="DU21" s="1003"/>
      <c r="DV21" s="1003"/>
      <c r="DW21" s="1003"/>
      <c r="DX21" s="1003"/>
      <c r="DY21" s="1003"/>
      <c r="DZ21" s="1003"/>
      <c r="EA21" s="1003"/>
      <c r="EB21" s="1003"/>
      <c r="EC21" s="1003"/>
      <c r="ED21" s="1003"/>
      <c r="EE21" s="1003"/>
      <c r="EF21" s="1003"/>
      <c r="EG21" s="1003"/>
      <c r="EH21" s="1003"/>
      <c r="EI21" s="1003"/>
      <c r="EJ21" s="1003"/>
      <c r="EK21" s="1003"/>
      <c r="EL21" s="1003"/>
      <c r="EM21" s="1003"/>
      <c r="EN21" s="1003"/>
      <c r="EO21" s="1003"/>
      <c r="EP21" s="1003"/>
      <c r="EQ21" s="1003"/>
      <c r="ER21" s="1003"/>
      <c r="ES21" s="1003"/>
      <c r="ET21" s="1003"/>
      <c r="EU21" s="1003"/>
      <c r="EV21" s="1003"/>
      <c r="EW21" s="1003"/>
      <c r="EX21" s="1003"/>
      <c r="EY21" s="1003"/>
      <c r="EZ21" s="1003"/>
      <c r="FA21" s="1003"/>
      <c r="FB21" s="1003"/>
      <c r="FC21" s="1003"/>
      <c r="FD21" s="1003"/>
      <c r="FE21" s="1003"/>
      <c r="FF21" s="1003"/>
      <c r="FG21" s="1004"/>
    </row>
    <row r="22" spans="1:163" s="600" customFormat="1">
      <c r="A22" s="911">
        <v>1</v>
      </c>
      <c r="B22" s="911"/>
      <c r="C22" s="911"/>
      <c r="D22" s="911"/>
      <c r="E22" s="911"/>
      <c r="F22" s="911"/>
      <c r="G22" s="911"/>
      <c r="H22" s="911"/>
      <c r="I22" s="911"/>
      <c r="J22" s="911"/>
      <c r="K22" s="911"/>
      <c r="L22" s="1178" t="s">
        <v>660</v>
      </c>
      <c r="M22" s="1179"/>
      <c r="N22" s="1002" t="s">
        <v>1319</v>
      </c>
      <c r="O22" s="1005"/>
      <c r="P22" s="1005"/>
      <c r="Q22" s="1005"/>
      <c r="R22" s="1005"/>
      <c r="S22" s="1005"/>
      <c r="T22" s="1005"/>
      <c r="U22" s="1005"/>
      <c r="V22" s="1005"/>
      <c r="W22" s="1005"/>
      <c r="X22" s="1005"/>
      <c r="Y22" s="1005"/>
      <c r="Z22" s="1005"/>
      <c r="AA22" s="1005"/>
      <c r="AB22" s="1005"/>
      <c r="AC22" s="1005"/>
      <c r="AD22" s="1005"/>
      <c r="AE22" s="1005"/>
      <c r="AF22" s="1005"/>
      <c r="AG22" s="1005"/>
      <c r="AH22" s="1005"/>
      <c r="AI22" s="1005"/>
      <c r="AJ22" s="1005"/>
      <c r="AK22" s="1005"/>
      <c r="AL22" s="1005"/>
      <c r="AM22" s="1005"/>
      <c r="AN22" s="1005"/>
      <c r="AO22" s="1005"/>
      <c r="AP22" s="1005"/>
      <c r="AQ22" s="1005"/>
      <c r="AR22" s="1005"/>
      <c r="AS22" s="1005"/>
      <c r="AT22" s="1005"/>
      <c r="AU22" s="1005"/>
      <c r="AV22" s="1005"/>
      <c r="AW22" s="1005"/>
      <c r="AX22" s="1005"/>
      <c r="AY22" s="1005"/>
      <c r="AZ22" s="1005"/>
      <c r="BA22" s="1005"/>
      <c r="BB22" s="1005"/>
      <c r="BC22" s="1005"/>
      <c r="BD22" s="1005"/>
      <c r="BE22" s="1005"/>
      <c r="BF22" s="1005"/>
      <c r="BG22" s="1005"/>
      <c r="BH22" s="1005"/>
      <c r="BI22" s="1005"/>
      <c r="BJ22" s="1005"/>
      <c r="BK22" s="1005"/>
      <c r="BL22" s="1005"/>
      <c r="BM22" s="1005"/>
      <c r="BN22" s="1005"/>
      <c r="BO22" s="1005"/>
      <c r="BP22" s="1005"/>
      <c r="BQ22" s="1005"/>
      <c r="BR22" s="1005"/>
      <c r="BS22" s="1005"/>
      <c r="BT22" s="1005"/>
      <c r="BU22" s="1005"/>
      <c r="BV22" s="1005"/>
      <c r="BW22" s="1005"/>
      <c r="BX22" s="1005"/>
      <c r="BY22" s="1005"/>
      <c r="BZ22" s="1005"/>
      <c r="CA22" s="1005"/>
      <c r="CB22" s="1005"/>
      <c r="CC22" s="1005"/>
      <c r="CD22" s="1005"/>
      <c r="CE22" s="1005"/>
      <c r="CF22" s="1005"/>
      <c r="CG22" s="1005"/>
      <c r="CH22" s="1005"/>
      <c r="CI22" s="1005"/>
      <c r="CJ22" s="1005"/>
      <c r="CK22" s="1005"/>
      <c r="CL22" s="1005"/>
      <c r="CM22" s="1005"/>
      <c r="CN22" s="1005"/>
      <c r="CO22" s="1005"/>
      <c r="CP22" s="1005"/>
      <c r="CQ22" s="1005"/>
      <c r="CR22" s="1005"/>
      <c r="CS22" s="1005"/>
      <c r="CT22" s="1005"/>
      <c r="CU22" s="1005"/>
      <c r="CV22" s="1005"/>
      <c r="CW22" s="1005"/>
      <c r="CX22" s="1005"/>
      <c r="CY22" s="1005"/>
      <c r="CZ22" s="1005"/>
      <c r="DA22" s="1005"/>
      <c r="DB22" s="1005"/>
      <c r="DC22" s="1005"/>
      <c r="DD22" s="1005"/>
      <c r="DE22" s="1005"/>
      <c r="DF22" s="1005"/>
      <c r="DG22" s="1005"/>
      <c r="DH22" s="1005"/>
      <c r="DI22" s="1005"/>
      <c r="DJ22" s="1005"/>
      <c r="DK22" s="1005"/>
      <c r="DL22" s="1005"/>
      <c r="DM22" s="1005"/>
      <c r="DN22" s="1005"/>
      <c r="DO22" s="1005"/>
      <c r="DP22" s="1005"/>
      <c r="DQ22" s="1005"/>
      <c r="DR22" s="1005"/>
      <c r="DS22" s="1005"/>
      <c r="DT22" s="1005"/>
      <c r="DU22" s="1005"/>
      <c r="DV22" s="1005"/>
      <c r="DW22" s="1005"/>
      <c r="DX22" s="1005"/>
      <c r="DY22" s="1005"/>
      <c r="DZ22" s="1005"/>
      <c r="EA22" s="1005"/>
      <c r="EB22" s="1005"/>
      <c r="EC22" s="1005"/>
      <c r="ED22" s="1005"/>
      <c r="EE22" s="1005"/>
      <c r="EF22" s="1005"/>
      <c r="EG22" s="1005"/>
      <c r="EH22" s="1005"/>
      <c r="EI22" s="1005"/>
      <c r="EJ22" s="1005"/>
      <c r="EK22" s="1005"/>
      <c r="EL22" s="1005"/>
      <c r="EM22" s="1005"/>
      <c r="EN22" s="1005"/>
      <c r="EO22" s="1005"/>
      <c r="EP22" s="1005"/>
      <c r="EQ22" s="1005"/>
      <c r="ER22" s="1005"/>
      <c r="ES22" s="1005"/>
      <c r="ET22" s="1005"/>
      <c r="EU22" s="1005"/>
      <c r="EV22" s="1005"/>
      <c r="EW22" s="1005"/>
      <c r="EX22" s="1005"/>
      <c r="EY22" s="1005"/>
      <c r="EZ22" s="1005"/>
      <c r="FA22" s="1005"/>
      <c r="FB22" s="1005"/>
      <c r="FC22" s="1005"/>
      <c r="FD22" s="1005"/>
      <c r="FE22" s="1005"/>
      <c r="FF22" s="1005"/>
      <c r="FG22" s="1006"/>
    </row>
    <row r="23" spans="1:163" s="600" customFormat="1">
      <c r="A23" s="911">
        <v>1</v>
      </c>
      <c r="B23" s="911"/>
      <c r="C23" s="911"/>
      <c r="D23" s="911"/>
      <c r="E23" s="911"/>
      <c r="F23" s="911"/>
      <c r="G23" s="911"/>
      <c r="H23" s="911"/>
      <c r="I23" s="911"/>
      <c r="J23" s="911"/>
      <c r="K23" s="911"/>
      <c r="L23" s="1178" t="s">
        <v>661</v>
      </c>
      <c r="M23" s="1179"/>
      <c r="N23" s="1002" t="s">
        <v>2929</v>
      </c>
      <c r="O23" s="1005"/>
      <c r="P23" s="1005"/>
      <c r="Q23" s="1005"/>
      <c r="R23" s="1005"/>
      <c r="S23" s="1005"/>
      <c r="T23" s="1005"/>
      <c r="U23" s="1005"/>
      <c r="V23" s="1005"/>
      <c r="W23" s="1005"/>
      <c r="X23" s="1005"/>
      <c r="Y23" s="1005"/>
      <c r="Z23" s="1005"/>
      <c r="AA23" s="1005"/>
      <c r="AB23" s="1005"/>
      <c r="AC23" s="1005"/>
      <c r="AD23" s="1005"/>
      <c r="AE23" s="1005"/>
      <c r="AF23" s="1005"/>
      <c r="AG23" s="1005"/>
      <c r="AH23" s="1005"/>
      <c r="AI23" s="1005"/>
      <c r="AJ23" s="1005"/>
      <c r="AK23" s="1005"/>
      <c r="AL23" s="1005"/>
      <c r="AM23" s="1005"/>
      <c r="AN23" s="1005"/>
      <c r="AO23" s="1005"/>
      <c r="AP23" s="1005"/>
      <c r="AQ23" s="1005"/>
      <c r="AR23" s="1005"/>
      <c r="AS23" s="1005"/>
      <c r="AT23" s="1005"/>
      <c r="AU23" s="1005"/>
      <c r="AV23" s="1005"/>
      <c r="AW23" s="1005"/>
      <c r="AX23" s="1005"/>
      <c r="AY23" s="1005"/>
      <c r="AZ23" s="1005"/>
      <c r="BA23" s="1005"/>
      <c r="BB23" s="1005"/>
      <c r="BC23" s="1005"/>
      <c r="BD23" s="1005"/>
      <c r="BE23" s="1005"/>
      <c r="BF23" s="1005"/>
      <c r="BG23" s="1005"/>
      <c r="BH23" s="1005"/>
      <c r="BI23" s="1005"/>
      <c r="BJ23" s="1005"/>
      <c r="BK23" s="1005"/>
      <c r="BL23" s="1005"/>
      <c r="BM23" s="1005"/>
      <c r="BN23" s="1005"/>
      <c r="BO23" s="1005"/>
      <c r="BP23" s="1005"/>
      <c r="BQ23" s="1005"/>
      <c r="BR23" s="1005"/>
      <c r="BS23" s="1005"/>
      <c r="BT23" s="1005"/>
      <c r="BU23" s="1005"/>
      <c r="BV23" s="1005"/>
      <c r="BW23" s="1005"/>
      <c r="BX23" s="1005"/>
      <c r="BY23" s="1005"/>
      <c r="BZ23" s="1005"/>
      <c r="CA23" s="1005"/>
      <c r="CB23" s="1005"/>
      <c r="CC23" s="1005"/>
      <c r="CD23" s="1005"/>
      <c r="CE23" s="1005"/>
      <c r="CF23" s="1005"/>
      <c r="CG23" s="1005"/>
      <c r="CH23" s="1005"/>
      <c r="CI23" s="1005"/>
      <c r="CJ23" s="1005"/>
      <c r="CK23" s="1005"/>
      <c r="CL23" s="1005"/>
      <c r="CM23" s="1005"/>
      <c r="CN23" s="1005"/>
      <c r="CO23" s="1005"/>
      <c r="CP23" s="1005"/>
      <c r="CQ23" s="1005"/>
      <c r="CR23" s="1005"/>
      <c r="CS23" s="1005"/>
      <c r="CT23" s="1005"/>
      <c r="CU23" s="1005"/>
      <c r="CV23" s="1005"/>
      <c r="CW23" s="1005"/>
      <c r="CX23" s="1005"/>
      <c r="CY23" s="1005"/>
      <c r="CZ23" s="1005"/>
      <c r="DA23" s="1005"/>
      <c r="DB23" s="1005"/>
      <c r="DC23" s="1005"/>
      <c r="DD23" s="1005"/>
      <c r="DE23" s="1005"/>
      <c r="DF23" s="1005"/>
      <c r="DG23" s="1005"/>
      <c r="DH23" s="1005"/>
      <c r="DI23" s="1005"/>
      <c r="DJ23" s="1005"/>
      <c r="DK23" s="1005"/>
      <c r="DL23" s="1005"/>
      <c r="DM23" s="1005"/>
      <c r="DN23" s="1005"/>
      <c r="DO23" s="1005"/>
      <c r="DP23" s="1005"/>
      <c r="DQ23" s="1005"/>
      <c r="DR23" s="1005"/>
      <c r="DS23" s="1005"/>
      <c r="DT23" s="1005"/>
      <c r="DU23" s="1005"/>
      <c r="DV23" s="1005"/>
      <c r="DW23" s="1005"/>
      <c r="DX23" s="1005"/>
      <c r="DY23" s="1005"/>
      <c r="DZ23" s="1005"/>
      <c r="EA23" s="1005"/>
      <c r="EB23" s="1005"/>
      <c r="EC23" s="1005"/>
      <c r="ED23" s="1005"/>
      <c r="EE23" s="1005"/>
      <c r="EF23" s="1005"/>
      <c r="EG23" s="1005"/>
      <c r="EH23" s="1005"/>
      <c r="EI23" s="1005"/>
      <c r="EJ23" s="1005"/>
      <c r="EK23" s="1005"/>
      <c r="EL23" s="1005"/>
      <c r="EM23" s="1005"/>
      <c r="EN23" s="1005"/>
      <c r="EO23" s="1005"/>
      <c r="EP23" s="1005"/>
      <c r="EQ23" s="1005"/>
      <c r="ER23" s="1005"/>
      <c r="ES23" s="1005"/>
      <c r="ET23" s="1005"/>
      <c r="EU23" s="1005"/>
      <c r="EV23" s="1005"/>
      <c r="EW23" s="1005"/>
      <c r="EX23" s="1005"/>
      <c r="EY23" s="1005"/>
      <c r="EZ23" s="1005"/>
      <c r="FA23" s="1005"/>
      <c r="FB23" s="1005"/>
      <c r="FC23" s="1005"/>
      <c r="FD23" s="1005"/>
      <c r="FE23" s="1005"/>
      <c r="FF23" s="1005"/>
      <c r="FG23" s="1006"/>
    </row>
    <row r="24" spans="1:163" s="600" customFormat="1">
      <c r="A24" s="911">
        <v>1</v>
      </c>
      <c r="B24" s="911"/>
      <c r="C24" s="911"/>
      <c r="D24" s="911"/>
      <c r="E24" s="911"/>
      <c r="F24" s="911"/>
      <c r="G24" s="911"/>
      <c r="H24" s="911"/>
      <c r="I24" s="911"/>
      <c r="J24" s="911"/>
      <c r="K24" s="911"/>
      <c r="L24" s="1180" t="s">
        <v>264</v>
      </c>
      <c r="M24" s="1181"/>
      <c r="N24" s="1002">
        <v>0</v>
      </c>
      <c r="O24" s="1005"/>
      <c r="P24" s="1005"/>
      <c r="Q24" s="1005"/>
      <c r="R24" s="1005"/>
      <c r="S24" s="1005"/>
      <c r="T24" s="1005"/>
      <c r="U24" s="1005"/>
      <c r="V24" s="1005"/>
      <c r="W24" s="1005"/>
      <c r="X24" s="1005"/>
      <c r="Y24" s="1005"/>
      <c r="Z24" s="1005"/>
      <c r="AA24" s="1005"/>
      <c r="AB24" s="1005"/>
      <c r="AC24" s="1005"/>
      <c r="AD24" s="1005"/>
      <c r="AE24" s="1005"/>
      <c r="AF24" s="1005"/>
      <c r="AG24" s="1005"/>
      <c r="AH24" s="1005"/>
      <c r="AI24" s="1005"/>
      <c r="AJ24" s="1005"/>
      <c r="AK24" s="1005"/>
      <c r="AL24" s="1005"/>
      <c r="AM24" s="1005"/>
      <c r="AN24" s="1005"/>
      <c r="AO24" s="1005"/>
      <c r="AP24" s="1005"/>
      <c r="AQ24" s="1005"/>
      <c r="AR24" s="1005"/>
      <c r="AS24" s="1005"/>
      <c r="AT24" s="1005"/>
      <c r="AU24" s="1005"/>
      <c r="AV24" s="1005"/>
      <c r="AW24" s="1005"/>
      <c r="AX24" s="1005"/>
      <c r="AY24" s="1005"/>
      <c r="AZ24" s="1005"/>
      <c r="BA24" s="1005"/>
      <c r="BB24" s="1005"/>
      <c r="BC24" s="1005"/>
      <c r="BD24" s="1005"/>
      <c r="BE24" s="1005"/>
      <c r="BF24" s="1005"/>
      <c r="BG24" s="1005"/>
      <c r="BH24" s="1005"/>
      <c r="BI24" s="1005"/>
      <c r="BJ24" s="1005"/>
      <c r="BK24" s="1005"/>
      <c r="BL24" s="1005"/>
      <c r="BM24" s="1005"/>
      <c r="BN24" s="1005"/>
      <c r="BO24" s="1005"/>
      <c r="BP24" s="1005"/>
      <c r="BQ24" s="1005"/>
      <c r="BR24" s="1005"/>
      <c r="BS24" s="1005"/>
      <c r="BT24" s="1005"/>
      <c r="BU24" s="1005"/>
      <c r="BV24" s="1005"/>
      <c r="BW24" s="1005"/>
      <c r="BX24" s="1005"/>
      <c r="BY24" s="1005"/>
      <c r="BZ24" s="1005"/>
      <c r="CA24" s="1005"/>
      <c r="CB24" s="1005"/>
      <c r="CC24" s="1005"/>
      <c r="CD24" s="1005"/>
      <c r="CE24" s="1005"/>
      <c r="CF24" s="1005"/>
      <c r="CG24" s="1005"/>
      <c r="CH24" s="1005"/>
      <c r="CI24" s="1005"/>
      <c r="CJ24" s="1005"/>
      <c r="CK24" s="1005"/>
      <c r="CL24" s="1005"/>
      <c r="CM24" s="1005"/>
      <c r="CN24" s="1005"/>
      <c r="CO24" s="1005"/>
      <c r="CP24" s="1005"/>
      <c r="CQ24" s="1005"/>
      <c r="CR24" s="1005"/>
      <c r="CS24" s="1005"/>
      <c r="CT24" s="1005"/>
      <c r="CU24" s="1005"/>
      <c r="CV24" s="1005"/>
      <c r="CW24" s="1005"/>
      <c r="CX24" s="1005"/>
      <c r="CY24" s="1005"/>
      <c r="CZ24" s="1005"/>
      <c r="DA24" s="1005"/>
      <c r="DB24" s="1005"/>
      <c r="DC24" s="1005"/>
      <c r="DD24" s="1005"/>
      <c r="DE24" s="1005"/>
      <c r="DF24" s="1005"/>
      <c r="DG24" s="1005"/>
      <c r="DH24" s="1005"/>
      <c r="DI24" s="1005"/>
      <c r="DJ24" s="1005"/>
      <c r="DK24" s="1005"/>
      <c r="DL24" s="1005"/>
      <c r="DM24" s="1005"/>
      <c r="DN24" s="1005"/>
      <c r="DO24" s="1005"/>
      <c r="DP24" s="1005"/>
      <c r="DQ24" s="1005"/>
      <c r="DR24" s="1005"/>
      <c r="DS24" s="1005"/>
      <c r="DT24" s="1005"/>
      <c r="DU24" s="1005"/>
      <c r="DV24" s="1005"/>
      <c r="DW24" s="1005"/>
      <c r="DX24" s="1005"/>
      <c r="DY24" s="1005"/>
      <c r="DZ24" s="1005"/>
      <c r="EA24" s="1005"/>
      <c r="EB24" s="1005"/>
      <c r="EC24" s="1005"/>
      <c r="ED24" s="1005"/>
      <c r="EE24" s="1005"/>
      <c r="EF24" s="1005"/>
      <c r="EG24" s="1005"/>
      <c r="EH24" s="1005"/>
      <c r="EI24" s="1005"/>
      <c r="EJ24" s="1005"/>
      <c r="EK24" s="1005"/>
      <c r="EL24" s="1005"/>
      <c r="EM24" s="1005"/>
      <c r="EN24" s="1005"/>
      <c r="EO24" s="1005"/>
      <c r="EP24" s="1005"/>
      <c r="EQ24" s="1005"/>
      <c r="ER24" s="1005"/>
      <c r="ES24" s="1005"/>
      <c r="ET24" s="1005"/>
      <c r="EU24" s="1005"/>
      <c r="EV24" s="1005"/>
      <c r="EW24" s="1005"/>
      <c r="EX24" s="1005"/>
      <c r="EY24" s="1005"/>
      <c r="EZ24" s="1005"/>
      <c r="FA24" s="1005"/>
      <c r="FB24" s="1005"/>
      <c r="FC24" s="1005"/>
      <c r="FD24" s="1005"/>
      <c r="FE24" s="1005"/>
      <c r="FF24" s="1005"/>
      <c r="FG24" s="1006"/>
    </row>
    <row r="25" spans="1:163" s="346" customFormat="1">
      <c r="A25" s="911">
        <v>1</v>
      </c>
      <c r="B25" s="1007"/>
      <c r="C25" s="911" t="s">
        <v>1407</v>
      </c>
      <c r="D25" s="911" t="s">
        <v>1609</v>
      </c>
      <c r="E25" s="1007"/>
      <c r="F25" s="1007"/>
      <c r="G25" s="1007"/>
      <c r="H25" s="1007"/>
      <c r="I25" s="1007"/>
      <c r="J25" s="1007"/>
      <c r="K25" s="1007"/>
      <c r="L25" s="1008" t="s">
        <v>676</v>
      </c>
      <c r="M25" s="1009" t="s">
        <v>655</v>
      </c>
      <c r="N25" s="1010">
        <v>8.1</v>
      </c>
      <c r="O25" s="1010">
        <v>3.46</v>
      </c>
      <c r="P25" s="1011">
        <v>-57.283950617283949</v>
      </c>
      <c r="Q25" s="1010"/>
      <c r="R25" s="1010"/>
      <c r="S25" s="1011">
        <v>0</v>
      </c>
      <c r="T25" s="1010"/>
      <c r="U25" s="1010"/>
      <c r="V25" s="1011">
        <v>0</v>
      </c>
      <c r="W25" s="1010"/>
      <c r="X25" s="1010"/>
      <c r="Y25" s="1011">
        <v>0</v>
      </c>
      <c r="Z25" s="1010"/>
      <c r="AA25" s="1010"/>
      <c r="AB25" s="1011">
        <v>0</v>
      </c>
      <c r="AC25" s="1010"/>
      <c r="AD25" s="1010"/>
      <c r="AE25" s="1011">
        <v>0</v>
      </c>
      <c r="AF25" s="1010"/>
      <c r="AG25" s="1010"/>
      <c r="AH25" s="1011">
        <v>0</v>
      </c>
      <c r="AI25" s="1010"/>
      <c r="AJ25" s="1010"/>
      <c r="AK25" s="1011">
        <v>0</v>
      </c>
      <c r="AL25" s="1010"/>
      <c r="AM25" s="1010"/>
      <c r="AN25" s="1011">
        <v>0</v>
      </c>
      <c r="AO25" s="1010"/>
      <c r="AP25" s="1010"/>
      <c r="AQ25" s="1011">
        <v>0</v>
      </c>
      <c r="AR25" s="1010"/>
      <c r="AS25" s="1010"/>
      <c r="AT25" s="1011">
        <v>0</v>
      </c>
      <c r="AU25" s="1010"/>
      <c r="AV25" s="1010"/>
      <c r="AW25" s="1011">
        <v>0</v>
      </c>
      <c r="AX25" s="1010"/>
      <c r="AY25" s="1010"/>
      <c r="AZ25" s="1011">
        <v>0</v>
      </c>
      <c r="BA25" s="1010"/>
      <c r="BB25" s="1010"/>
      <c r="BC25" s="1011">
        <v>0</v>
      </c>
      <c r="BD25" s="1010"/>
      <c r="BE25" s="1010"/>
      <c r="BF25" s="1011">
        <v>0</v>
      </c>
      <c r="BG25" s="1010"/>
      <c r="BH25" s="1010"/>
      <c r="BI25" s="1011">
        <v>0</v>
      </c>
      <c r="BJ25" s="1010"/>
      <c r="BK25" s="1010"/>
      <c r="BL25" s="1011">
        <v>0</v>
      </c>
      <c r="BM25" s="1010"/>
      <c r="BN25" s="1010"/>
      <c r="BO25" s="1011">
        <v>0</v>
      </c>
      <c r="BP25" s="1010"/>
      <c r="BQ25" s="1010"/>
      <c r="BR25" s="1011">
        <v>0</v>
      </c>
      <c r="BS25" s="1010"/>
      <c r="BT25" s="1010"/>
      <c r="BU25" s="1011">
        <v>0</v>
      </c>
      <c r="BV25" s="1010"/>
      <c r="BW25" s="1010"/>
      <c r="BX25" s="1011">
        <v>0</v>
      </c>
      <c r="BY25" s="1010"/>
      <c r="BZ25" s="1010"/>
      <c r="CA25" s="1011">
        <v>0</v>
      </c>
      <c r="CB25" s="1010"/>
      <c r="CC25" s="1010"/>
      <c r="CD25" s="1011">
        <v>0</v>
      </c>
      <c r="CE25" s="1010"/>
      <c r="CF25" s="1010"/>
      <c r="CG25" s="1011">
        <v>0</v>
      </c>
      <c r="CH25" s="1010"/>
      <c r="CI25" s="1010"/>
      <c r="CJ25" s="1011">
        <v>0</v>
      </c>
      <c r="CK25" s="1010"/>
      <c r="CL25" s="1010"/>
      <c r="CM25" s="1011">
        <v>0</v>
      </c>
      <c r="CN25" s="1010"/>
      <c r="CO25" s="1010"/>
      <c r="CP25" s="1011">
        <v>0</v>
      </c>
      <c r="CQ25" s="1010"/>
      <c r="CR25" s="1010"/>
      <c r="CS25" s="1011">
        <v>0</v>
      </c>
      <c r="CT25" s="1010"/>
      <c r="CU25" s="1010"/>
      <c r="CV25" s="1011">
        <v>0</v>
      </c>
      <c r="CW25" s="1010"/>
      <c r="CX25" s="1010"/>
      <c r="CY25" s="1011">
        <v>0</v>
      </c>
      <c r="CZ25" s="1010"/>
      <c r="DA25" s="1010"/>
      <c r="DB25" s="1011">
        <v>0</v>
      </c>
      <c r="DC25" s="1010"/>
      <c r="DD25" s="1010"/>
      <c r="DE25" s="1011">
        <v>0</v>
      </c>
      <c r="DF25" s="1010"/>
      <c r="DG25" s="1010"/>
      <c r="DH25" s="1011">
        <v>0</v>
      </c>
      <c r="DI25" s="1010"/>
      <c r="DJ25" s="1010"/>
      <c r="DK25" s="1011">
        <v>0</v>
      </c>
      <c r="DL25" s="1010"/>
      <c r="DM25" s="1010"/>
      <c r="DN25" s="1011">
        <v>0</v>
      </c>
      <c r="DO25" s="1010"/>
      <c r="DP25" s="1010"/>
      <c r="DQ25" s="1011">
        <v>0</v>
      </c>
      <c r="DR25" s="1010"/>
      <c r="DS25" s="1010"/>
      <c r="DT25" s="1011">
        <v>0</v>
      </c>
      <c r="DU25" s="1010"/>
      <c r="DV25" s="1010"/>
      <c r="DW25" s="1011">
        <v>0</v>
      </c>
      <c r="DX25" s="1010"/>
      <c r="DY25" s="1010"/>
      <c r="DZ25" s="1011">
        <v>0</v>
      </c>
      <c r="EA25" s="1010"/>
      <c r="EB25" s="1010"/>
      <c r="EC25" s="1011">
        <v>0</v>
      </c>
      <c r="ED25" s="1010"/>
      <c r="EE25" s="1010"/>
      <c r="EF25" s="1011">
        <v>0</v>
      </c>
      <c r="EG25" s="1010"/>
      <c r="EH25" s="1010"/>
      <c r="EI25" s="1011">
        <v>0</v>
      </c>
      <c r="EJ25" s="1010"/>
      <c r="EK25" s="1010"/>
      <c r="EL25" s="1011">
        <v>0</v>
      </c>
      <c r="EM25" s="1010"/>
      <c r="EN25" s="1010"/>
      <c r="EO25" s="1011">
        <v>0</v>
      </c>
      <c r="EP25" s="1010"/>
      <c r="EQ25" s="1010"/>
      <c r="ER25" s="1011">
        <v>0</v>
      </c>
      <c r="ES25" s="1010"/>
      <c r="ET25" s="1010"/>
      <c r="EU25" s="1011">
        <v>0</v>
      </c>
      <c r="EV25" s="1010"/>
      <c r="EW25" s="1010"/>
      <c r="EX25" s="1011">
        <v>0</v>
      </c>
      <c r="EY25" s="1010"/>
      <c r="EZ25" s="1010"/>
      <c r="FA25" s="1011">
        <v>0</v>
      </c>
      <c r="FB25" s="1010"/>
      <c r="FC25" s="1010"/>
      <c r="FD25" s="1011">
        <v>0</v>
      </c>
      <c r="FE25" s="1010"/>
      <c r="FF25" s="1010"/>
      <c r="FG25" s="1011">
        <v>0</v>
      </c>
    </row>
    <row r="26" spans="1:163" s="346" customFormat="1">
      <c r="A26" s="911">
        <v>1</v>
      </c>
      <c r="B26" s="1007"/>
      <c r="C26" s="911" t="s">
        <v>1407</v>
      </c>
      <c r="D26" s="911" t="s">
        <v>1610</v>
      </c>
      <c r="E26" s="1007"/>
      <c r="F26" s="1007"/>
      <c r="G26" s="1007"/>
      <c r="H26" s="1007"/>
      <c r="I26" s="1007"/>
      <c r="J26" s="1007"/>
      <c r="K26" s="1007"/>
      <c r="L26" s="1008" t="s">
        <v>677</v>
      </c>
      <c r="M26" s="1009" t="s">
        <v>655</v>
      </c>
      <c r="N26" s="1010">
        <v>8.0976472648724371</v>
      </c>
      <c r="O26" s="1010">
        <v>3.46</v>
      </c>
      <c r="P26" s="1011">
        <v>-57.271539660544782</v>
      </c>
      <c r="Q26" s="1010"/>
      <c r="R26" s="1010"/>
      <c r="S26" s="1011">
        <v>0</v>
      </c>
      <c r="T26" s="1010"/>
      <c r="U26" s="1010"/>
      <c r="V26" s="1011">
        <v>0</v>
      </c>
      <c r="W26" s="1010"/>
      <c r="X26" s="1010"/>
      <c r="Y26" s="1011">
        <v>0</v>
      </c>
      <c r="Z26" s="1010"/>
      <c r="AA26" s="1010"/>
      <c r="AB26" s="1011">
        <v>0</v>
      </c>
      <c r="AC26" s="1010"/>
      <c r="AD26" s="1010"/>
      <c r="AE26" s="1011">
        <v>0</v>
      </c>
      <c r="AF26" s="1010"/>
      <c r="AG26" s="1010"/>
      <c r="AH26" s="1011">
        <v>0</v>
      </c>
      <c r="AI26" s="1010"/>
      <c r="AJ26" s="1010"/>
      <c r="AK26" s="1011">
        <v>0</v>
      </c>
      <c r="AL26" s="1010"/>
      <c r="AM26" s="1010"/>
      <c r="AN26" s="1011">
        <v>0</v>
      </c>
      <c r="AO26" s="1010"/>
      <c r="AP26" s="1010"/>
      <c r="AQ26" s="1011">
        <v>0</v>
      </c>
      <c r="AR26" s="1010"/>
      <c r="AS26" s="1010"/>
      <c r="AT26" s="1011">
        <v>0</v>
      </c>
      <c r="AU26" s="1010"/>
      <c r="AV26" s="1010"/>
      <c r="AW26" s="1011">
        <v>0</v>
      </c>
      <c r="AX26" s="1010"/>
      <c r="AY26" s="1010"/>
      <c r="AZ26" s="1011">
        <v>0</v>
      </c>
      <c r="BA26" s="1010"/>
      <c r="BB26" s="1010"/>
      <c r="BC26" s="1011">
        <v>0</v>
      </c>
      <c r="BD26" s="1010"/>
      <c r="BE26" s="1010"/>
      <c r="BF26" s="1011">
        <v>0</v>
      </c>
      <c r="BG26" s="1010"/>
      <c r="BH26" s="1010"/>
      <c r="BI26" s="1011">
        <v>0</v>
      </c>
      <c r="BJ26" s="1010"/>
      <c r="BK26" s="1010"/>
      <c r="BL26" s="1011">
        <v>0</v>
      </c>
      <c r="BM26" s="1010"/>
      <c r="BN26" s="1010"/>
      <c r="BO26" s="1011">
        <v>0</v>
      </c>
      <c r="BP26" s="1010"/>
      <c r="BQ26" s="1010"/>
      <c r="BR26" s="1011">
        <v>0</v>
      </c>
      <c r="BS26" s="1010"/>
      <c r="BT26" s="1010"/>
      <c r="BU26" s="1011">
        <v>0</v>
      </c>
      <c r="BV26" s="1010"/>
      <c r="BW26" s="1010"/>
      <c r="BX26" s="1011">
        <v>0</v>
      </c>
      <c r="BY26" s="1010"/>
      <c r="BZ26" s="1010"/>
      <c r="CA26" s="1011">
        <v>0</v>
      </c>
      <c r="CB26" s="1010"/>
      <c r="CC26" s="1010"/>
      <c r="CD26" s="1011">
        <v>0</v>
      </c>
      <c r="CE26" s="1010"/>
      <c r="CF26" s="1010"/>
      <c r="CG26" s="1011">
        <v>0</v>
      </c>
      <c r="CH26" s="1010"/>
      <c r="CI26" s="1010"/>
      <c r="CJ26" s="1011">
        <v>0</v>
      </c>
      <c r="CK26" s="1010"/>
      <c r="CL26" s="1010"/>
      <c r="CM26" s="1011">
        <v>0</v>
      </c>
      <c r="CN26" s="1010"/>
      <c r="CO26" s="1010"/>
      <c r="CP26" s="1011">
        <v>0</v>
      </c>
      <c r="CQ26" s="1010"/>
      <c r="CR26" s="1010"/>
      <c r="CS26" s="1011">
        <v>0</v>
      </c>
      <c r="CT26" s="1010"/>
      <c r="CU26" s="1010"/>
      <c r="CV26" s="1011">
        <v>0</v>
      </c>
      <c r="CW26" s="1010"/>
      <c r="CX26" s="1010"/>
      <c r="CY26" s="1011">
        <v>0</v>
      </c>
      <c r="CZ26" s="1010"/>
      <c r="DA26" s="1010"/>
      <c r="DB26" s="1011">
        <v>0</v>
      </c>
      <c r="DC26" s="1010"/>
      <c r="DD26" s="1010"/>
      <c r="DE26" s="1011">
        <v>0</v>
      </c>
      <c r="DF26" s="1010"/>
      <c r="DG26" s="1010"/>
      <c r="DH26" s="1011">
        <v>0</v>
      </c>
      <c r="DI26" s="1010"/>
      <c r="DJ26" s="1010"/>
      <c r="DK26" s="1011">
        <v>0</v>
      </c>
      <c r="DL26" s="1010"/>
      <c r="DM26" s="1010"/>
      <c r="DN26" s="1011">
        <v>0</v>
      </c>
      <c r="DO26" s="1010"/>
      <c r="DP26" s="1010"/>
      <c r="DQ26" s="1011">
        <v>0</v>
      </c>
      <c r="DR26" s="1010"/>
      <c r="DS26" s="1010"/>
      <c r="DT26" s="1011">
        <v>0</v>
      </c>
      <c r="DU26" s="1010"/>
      <c r="DV26" s="1010"/>
      <c r="DW26" s="1011">
        <v>0</v>
      </c>
      <c r="DX26" s="1010"/>
      <c r="DY26" s="1010"/>
      <c r="DZ26" s="1011">
        <v>0</v>
      </c>
      <c r="EA26" s="1010"/>
      <c r="EB26" s="1010"/>
      <c r="EC26" s="1011">
        <v>0</v>
      </c>
      <c r="ED26" s="1010"/>
      <c r="EE26" s="1010"/>
      <c r="EF26" s="1011">
        <v>0</v>
      </c>
      <c r="EG26" s="1010"/>
      <c r="EH26" s="1010"/>
      <c r="EI26" s="1011">
        <v>0</v>
      </c>
      <c r="EJ26" s="1010"/>
      <c r="EK26" s="1010"/>
      <c r="EL26" s="1011">
        <v>0</v>
      </c>
      <c r="EM26" s="1010"/>
      <c r="EN26" s="1010"/>
      <c r="EO26" s="1011">
        <v>0</v>
      </c>
      <c r="EP26" s="1010"/>
      <c r="EQ26" s="1010"/>
      <c r="ER26" s="1011">
        <v>0</v>
      </c>
      <c r="ES26" s="1010"/>
      <c r="ET26" s="1010"/>
      <c r="EU26" s="1011">
        <v>0</v>
      </c>
      <c r="EV26" s="1010"/>
      <c r="EW26" s="1010"/>
      <c r="EX26" s="1011">
        <v>0</v>
      </c>
      <c r="EY26" s="1010"/>
      <c r="EZ26" s="1010"/>
      <c r="FA26" s="1011">
        <v>0</v>
      </c>
      <c r="FB26" s="1010"/>
      <c r="FC26" s="1010"/>
      <c r="FD26" s="1011">
        <v>0</v>
      </c>
      <c r="FE26" s="1010"/>
      <c r="FF26" s="1010"/>
      <c r="FG26" s="1011">
        <v>0</v>
      </c>
    </row>
    <row r="27" spans="1:163" s="600" customFormat="1">
      <c r="A27" s="911">
        <v>1</v>
      </c>
      <c r="B27" s="911"/>
      <c r="C27" s="911" t="s">
        <v>1408</v>
      </c>
      <c r="D27" s="911"/>
      <c r="E27" s="911"/>
      <c r="F27" s="911"/>
      <c r="G27" s="911"/>
      <c r="H27" s="911"/>
      <c r="I27" s="911"/>
      <c r="J27" s="911"/>
      <c r="K27" s="911"/>
      <c r="L27" s="1012" t="s">
        <v>663</v>
      </c>
      <c r="M27" s="1013" t="s">
        <v>137</v>
      </c>
      <c r="N27" s="1014">
        <v>99.970953887314039</v>
      </c>
      <c r="O27" s="1014">
        <v>100</v>
      </c>
      <c r="P27" s="1015"/>
      <c r="Q27" s="1014">
        <v>0</v>
      </c>
      <c r="R27" s="1014">
        <v>0</v>
      </c>
      <c r="S27" s="1015"/>
      <c r="T27" s="1014">
        <v>0</v>
      </c>
      <c r="U27" s="1014">
        <v>0</v>
      </c>
      <c r="V27" s="1015"/>
      <c r="W27" s="1014">
        <v>0</v>
      </c>
      <c r="X27" s="1014">
        <v>0</v>
      </c>
      <c r="Y27" s="1015"/>
      <c r="Z27" s="1014">
        <v>0</v>
      </c>
      <c r="AA27" s="1014">
        <v>0</v>
      </c>
      <c r="AB27" s="1015"/>
      <c r="AC27" s="1014">
        <v>0</v>
      </c>
      <c r="AD27" s="1014">
        <v>0</v>
      </c>
      <c r="AE27" s="1015"/>
      <c r="AF27" s="1014">
        <v>0</v>
      </c>
      <c r="AG27" s="1014">
        <v>0</v>
      </c>
      <c r="AH27" s="1015"/>
      <c r="AI27" s="1014">
        <v>0</v>
      </c>
      <c r="AJ27" s="1014">
        <v>0</v>
      </c>
      <c r="AK27" s="1015"/>
      <c r="AL27" s="1014">
        <v>0</v>
      </c>
      <c r="AM27" s="1014">
        <v>0</v>
      </c>
      <c r="AN27" s="1015"/>
      <c r="AO27" s="1014">
        <v>0</v>
      </c>
      <c r="AP27" s="1014">
        <v>0</v>
      </c>
      <c r="AQ27" s="1015"/>
      <c r="AR27" s="1014">
        <v>0</v>
      </c>
      <c r="AS27" s="1014">
        <v>0</v>
      </c>
      <c r="AT27" s="1015"/>
      <c r="AU27" s="1014">
        <v>0</v>
      </c>
      <c r="AV27" s="1014">
        <v>0</v>
      </c>
      <c r="AW27" s="1015"/>
      <c r="AX27" s="1014">
        <v>0</v>
      </c>
      <c r="AY27" s="1014">
        <v>0</v>
      </c>
      <c r="AZ27" s="1015"/>
      <c r="BA27" s="1014">
        <v>0</v>
      </c>
      <c r="BB27" s="1014">
        <v>0</v>
      </c>
      <c r="BC27" s="1015"/>
      <c r="BD27" s="1014">
        <v>0</v>
      </c>
      <c r="BE27" s="1014">
        <v>0</v>
      </c>
      <c r="BF27" s="1015"/>
      <c r="BG27" s="1014">
        <v>0</v>
      </c>
      <c r="BH27" s="1014">
        <v>0</v>
      </c>
      <c r="BI27" s="1015"/>
      <c r="BJ27" s="1014">
        <v>0</v>
      </c>
      <c r="BK27" s="1014">
        <v>0</v>
      </c>
      <c r="BL27" s="1015"/>
      <c r="BM27" s="1014">
        <v>0</v>
      </c>
      <c r="BN27" s="1014">
        <v>0</v>
      </c>
      <c r="BO27" s="1015"/>
      <c r="BP27" s="1014">
        <v>0</v>
      </c>
      <c r="BQ27" s="1014">
        <v>0</v>
      </c>
      <c r="BR27" s="1015"/>
      <c r="BS27" s="1014">
        <v>0</v>
      </c>
      <c r="BT27" s="1014">
        <v>0</v>
      </c>
      <c r="BU27" s="1015"/>
      <c r="BV27" s="1014">
        <v>0</v>
      </c>
      <c r="BW27" s="1014">
        <v>0</v>
      </c>
      <c r="BX27" s="1015"/>
      <c r="BY27" s="1014">
        <v>0</v>
      </c>
      <c r="BZ27" s="1014">
        <v>0</v>
      </c>
      <c r="CA27" s="1015"/>
      <c r="CB27" s="1014">
        <v>0</v>
      </c>
      <c r="CC27" s="1014">
        <v>0</v>
      </c>
      <c r="CD27" s="1015"/>
      <c r="CE27" s="1014">
        <v>0</v>
      </c>
      <c r="CF27" s="1014">
        <v>0</v>
      </c>
      <c r="CG27" s="1015"/>
      <c r="CH27" s="1014">
        <v>0</v>
      </c>
      <c r="CI27" s="1014">
        <v>0</v>
      </c>
      <c r="CJ27" s="1015"/>
      <c r="CK27" s="1014">
        <v>0</v>
      </c>
      <c r="CL27" s="1014">
        <v>0</v>
      </c>
      <c r="CM27" s="1015"/>
      <c r="CN27" s="1014">
        <v>0</v>
      </c>
      <c r="CO27" s="1014">
        <v>0</v>
      </c>
      <c r="CP27" s="1015"/>
      <c r="CQ27" s="1014">
        <v>0</v>
      </c>
      <c r="CR27" s="1014">
        <v>0</v>
      </c>
      <c r="CS27" s="1015"/>
      <c r="CT27" s="1014">
        <v>0</v>
      </c>
      <c r="CU27" s="1014">
        <v>0</v>
      </c>
      <c r="CV27" s="1015"/>
      <c r="CW27" s="1014">
        <v>0</v>
      </c>
      <c r="CX27" s="1014">
        <v>0</v>
      </c>
      <c r="CY27" s="1015"/>
      <c r="CZ27" s="1014">
        <v>0</v>
      </c>
      <c r="DA27" s="1014">
        <v>0</v>
      </c>
      <c r="DB27" s="1015"/>
      <c r="DC27" s="1014">
        <v>0</v>
      </c>
      <c r="DD27" s="1014">
        <v>0</v>
      </c>
      <c r="DE27" s="1015"/>
      <c r="DF27" s="1014">
        <v>0</v>
      </c>
      <c r="DG27" s="1014">
        <v>0</v>
      </c>
      <c r="DH27" s="1015"/>
      <c r="DI27" s="1014">
        <v>0</v>
      </c>
      <c r="DJ27" s="1014">
        <v>0</v>
      </c>
      <c r="DK27" s="1015"/>
      <c r="DL27" s="1014">
        <v>0</v>
      </c>
      <c r="DM27" s="1014">
        <v>0</v>
      </c>
      <c r="DN27" s="1015"/>
      <c r="DO27" s="1014">
        <v>0</v>
      </c>
      <c r="DP27" s="1014">
        <v>0</v>
      </c>
      <c r="DQ27" s="1015"/>
      <c r="DR27" s="1014">
        <v>0</v>
      </c>
      <c r="DS27" s="1014">
        <v>0</v>
      </c>
      <c r="DT27" s="1015"/>
      <c r="DU27" s="1014">
        <v>0</v>
      </c>
      <c r="DV27" s="1014">
        <v>0</v>
      </c>
      <c r="DW27" s="1015"/>
      <c r="DX27" s="1014">
        <v>0</v>
      </c>
      <c r="DY27" s="1014">
        <v>0</v>
      </c>
      <c r="DZ27" s="1015"/>
      <c r="EA27" s="1014">
        <v>0</v>
      </c>
      <c r="EB27" s="1014">
        <v>0</v>
      </c>
      <c r="EC27" s="1015"/>
      <c r="ED27" s="1014">
        <v>0</v>
      </c>
      <c r="EE27" s="1014">
        <v>0</v>
      </c>
      <c r="EF27" s="1015"/>
      <c r="EG27" s="1014">
        <v>0</v>
      </c>
      <c r="EH27" s="1014">
        <v>0</v>
      </c>
      <c r="EI27" s="1015"/>
      <c r="EJ27" s="1014">
        <v>0</v>
      </c>
      <c r="EK27" s="1014">
        <v>0</v>
      </c>
      <c r="EL27" s="1015"/>
      <c r="EM27" s="1014">
        <v>0</v>
      </c>
      <c r="EN27" s="1014">
        <v>0</v>
      </c>
      <c r="EO27" s="1015"/>
      <c r="EP27" s="1014">
        <v>0</v>
      </c>
      <c r="EQ27" s="1014">
        <v>0</v>
      </c>
      <c r="ER27" s="1015"/>
      <c r="ES27" s="1014">
        <v>0</v>
      </c>
      <c r="ET27" s="1014">
        <v>0</v>
      </c>
      <c r="EU27" s="1015"/>
      <c r="EV27" s="1014">
        <v>0</v>
      </c>
      <c r="EW27" s="1014">
        <v>0</v>
      </c>
      <c r="EX27" s="1015"/>
      <c r="EY27" s="1014">
        <v>0</v>
      </c>
      <c r="EZ27" s="1014">
        <v>0</v>
      </c>
      <c r="FA27" s="1015"/>
      <c r="FB27" s="1014">
        <v>0</v>
      </c>
      <c r="FC27" s="1014">
        <v>0</v>
      </c>
      <c r="FD27" s="1015"/>
      <c r="FE27" s="1014">
        <v>0</v>
      </c>
      <c r="FF27" s="1014">
        <v>0</v>
      </c>
      <c r="FG27" s="1016"/>
    </row>
    <row r="28" spans="1:163" s="600" customFormat="1">
      <c r="A28" s="788" t="s">
        <v>102</v>
      </c>
      <c r="B28" s="911"/>
      <c r="C28" s="911"/>
      <c r="D28" s="911"/>
      <c r="E28" s="911"/>
      <c r="F28" s="911"/>
      <c r="G28" s="911"/>
      <c r="H28" s="911"/>
      <c r="I28" s="911"/>
      <c r="J28" s="911"/>
      <c r="K28" s="911"/>
      <c r="L28" s="1176" t="s">
        <v>16</v>
      </c>
      <c r="M28" s="1177"/>
      <c r="N28" s="1002" t="s">
        <v>3008</v>
      </c>
      <c r="O28" s="1003"/>
      <c r="P28" s="1003"/>
      <c r="Q28" s="1003"/>
      <c r="R28" s="1003"/>
      <c r="S28" s="1003"/>
      <c r="T28" s="1003"/>
      <c r="U28" s="1003"/>
      <c r="V28" s="1003"/>
      <c r="W28" s="1003"/>
      <c r="X28" s="1003"/>
      <c r="Y28" s="1003"/>
      <c r="Z28" s="1003"/>
      <c r="AA28" s="1003"/>
      <c r="AB28" s="1003"/>
      <c r="AC28" s="1003"/>
      <c r="AD28" s="1003"/>
      <c r="AE28" s="1003"/>
      <c r="AF28" s="1003"/>
      <c r="AG28" s="1003"/>
      <c r="AH28" s="1003"/>
      <c r="AI28" s="1003"/>
      <c r="AJ28" s="1003"/>
      <c r="AK28" s="1003"/>
      <c r="AL28" s="1003"/>
      <c r="AM28" s="1003"/>
      <c r="AN28" s="1003"/>
      <c r="AO28" s="1003"/>
      <c r="AP28" s="1003"/>
      <c r="AQ28" s="1003"/>
      <c r="AR28" s="1003"/>
      <c r="AS28" s="1003"/>
      <c r="AT28" s="1003"/>
      <c r="AU28" s="1003"/>
      <c r="AV28" s="1003"/>
      <c r="AW28" s="1003"/>
      <c r="AX28" s="1003"/>
      <c r="AY28" s="1003"/>
      <c r="AZ28" s="1003"/>
      <c r="BA28" s="1003"/>
      <c r="BB28" s="1003"/>
      <c r="BC28" s="1003"/>
      <c r="BD28" s="1003"/>
      <c r="BE28" s="1003"/>
      <c r="BF28" s="1003"/>
      <c r="BG28" s="1003"/>
      <c r="BH28" s="1003"/>
      <c r="BI28" s="1003"/>
      <c r="BJ28" s="1003"/>
      <c r="BK28" s="1003"/>
      <c r="BL28" s="1003"/>
      <c r="BM28" s="1003"/>
      <c r="BN28" s="1003"/>
      <c r="BO28" s="1003"/>
      <c r="BP28" s="1003"/>
      <c r="BQ28" s="1003"/>
      <c r="BR28" s="1003"/>
      <c r="BS28" s="1003"/>
      <c r="BT28" s="1003"/>
      <c r="BU28" s="1003"/>
      <c r="BV28" s="1003"/>
      <c r="BW28" s="1003"/>
      <c r="BX28" s="1003"/>
      <c r="BY28" s="1003"/>
      <c r="BZ28" s="1003"/>
      <c r="CA28" s="1003"/>
      <c r="CB28" s="1003"/>
      <c r="CC28" s="1003"/>
      <c r="CD28" s="1003"/>
      <c r="CE28" s="1003"/>
      <c r="CF28" s="1003"/>
      <c r="CG28" s="1003"/>
      <c r="CH28" s="1003"/>
      <c r="CI28" s="1003"/>
      <c r="CJ28" s="1003"/>
      <c r="CK28" s="1003"/>
      <c r="CL28" s="1003"/>
      <c r="CM28" s="1003"/>
      <c r="CN28" s="1003"/>
      <c r="CO28" s="1003"/>
      <c r="CP28" s="1003"/>
      <c r="CQ28" s="1003"/>
      <c r="CR28" s="1003"/>
      <c r="CS28" s="1003"/>
      <c r="CT28" s="1003"/>
      <c r="CU28" s="1003"/>
      <c r="CV28" s="1003"/>
      <c r="CW28" s="1003"/>
      <c r="CX28" s="1003"/>
      <c r="CY28" s="1003"/>
      <c r="CZ28" s="1003"/>
      <c r="DA28" s="1003"/>
      <c r="DB28" s="1003"/>
      <c r="DC28" s="1003"/>
      <c r="DD28" s="1003"/>
      <c r="DE28" s="1003"/>
      <c r="DF28" s="1003"/>
      <c r="DG28" s="1003"/>
      <c r="DH28" s="1003"/>
      <c r="DI28" s="1003"/>
      <c r="DJ28" s="1003"/>
      <c r="DK28" s="1003"/>
      <c r="DL28" s="1003"/>
      <c r="DM28" s="1003"/>
      <c r="DN28" s="1003"/>
      <c r="DO28" s="1003"/>
      <c r="DP28" s="1003"/>
      <c r="DQ28" s="1003"/>
      <c r="DR28" s="1003"/>
      <c r="DS28" s="1003"/>
      <c r="DT28" s="1003"/>
      <c r="DU28" s="1003"/>
      <c r="DV28" s="1003"/>
      <c r="DW28" s="1003"/>
      <c r="DX28" s="1003"/>
      <c r="DY28" s="1003"/>
      <c r="DZ28" s="1003"/>
      <c r="EA28" s="1003"/>
      <c r="EB28" s="1003"/>
      <c r="EC28" s="1003"/>
      <c r="ED28" s="1003"/>
      <c r="EE28" s="1003"/>
      <c r="EF28" s="1003"/>
      <c r="EG28" s="1003"/>
      <c r="EH28" s="1003"/>
      <c r="EI28" s="1003"/>
      <c r="EJ28" s="1003"/>
      <c r="EK28" s="1003"/>
      <c r="EL28" s="1003"/>
      <c r="EM28" s="1003"/>
      <c r="EN28" s="1003"/>
      <c r="EO28" s="1003"/>
      <c r="EP28" s="1003"/>
      <c r="EQ28" s="1003"/>
      <c r="ER28" s="1003"/>
      <c r="ES28" s="1003"/>
      <c r="ET28" s="1003"/>
      <c r="EU28" s="1003"/>
      <c r="EV28" s="1003"/>
      <c r="EW28" s="1003"/>
      <c r="EX28" s="1003"/>
      <c r="EY28" s="1003"/>
      <c r="EZ28" s="1003"/>
      <c r="FA28" s="1003"/>
      <c r="FB28" s="1003"/>
      <c r="FC28" s="1003"/>
      <c r="FD28" s="1003"/>
      <c r="FE28" s="1003"/>
      <c r="FF28" s="1003"/>
      <c r="FG28" s="1004"/>
    </row>
    <row r="29" spans="1:163" s="600" customFormat="1">
      <c r="A29" s="911">
        <v>2</v>
      </c>
      <c r="B29" s="911"/>
      <c r="C29" s="911"/>
      <c r="D29" s="911"/>
      <c r="E29" s="911"/>
      <c r="F29" s="911"/>
      <c r="G29" s="911"/>
      <c r="H29" s="911"/>
      <c r="I29" s="911"/>
      <c r="J29" s="911"/>
      <c r="K29" s="911"/>
      <c r="L29" s="1178" t="s">
        <v>660</v>
      </c>
      <c r="M29" s="1179"/>
      <c r="N29" s="1002" t="s">
        <v>1319</v>
      </c>
      <c r="O29" s="1005"/>
      <c r="P29" s="1005"/>
      <c r="Q29" s="1005"/>
      <c r="R29" s="1005"/>
      <c r="S29" s="1005"/>
      <c r="T29" s="1005"/>
      <c r="U29" s="1005"/>
      <c r="V29" s="1005"/>
      <c r="W29" s="1005"/>
      <c r="X29" s="1005"/>
      <c r="Y29" s="1005"/>
      <c r="Z29" s="1005"/>
      <c r="AA29" s="1005"/>
      <c r="AB29" s="1005"/>
      <c r="AC29" s="1005"/>
      <c r="AD29" s="1005"/>
      <c r="AE29" s="1005"/>
      <c r="AF29" s="1005"/>
      <c r="AG29" s="1005"/>
      <c r="AH29" s="1005"/>
      <c r="AI29" s="1005"/>
      <c r="AJ29" s="1005"/>
      <c r="AK29" s="1005"/>
      <c r="AL29" s="1005"/>
      <c r="AM29" s="1005"/>
      <c r="AN29" s="1005"/>
      <c r="AO29" s="1005"/>
      <c r="AP29" s="1005"/>
      <c r="AQ29" s="1005"/>
      <c r="AR29" s="1005"/>
      <c r="AS29" s="1005"/>
      <c r="AT29" s="1005"/>
      <c r="AU29" s="1005"/>
      <c r="AV29" s="1005"/>
      <c r="AW29" s="1005"/>
      <c r="AX29" s="1005"/>
      <c r="AY29" s="1005"/>
      <c r="AZ29" s="1005"/>
      <c r="BA29" s="1005"/>
      <c r="BB29" s="1005"/>
      <c r="BC29" s="1005"/>
      <c r="BD29" s="1005"/>
      <c r="BE29" s="1005"/>
      <c r="BF29" s="1005"/>
      <c r="BG29" s="1005"/>
      <c r="BH29" s="1005"/>
      <c r="BI29" s="1005"/>
      <c r="BJ29" s="1005"/>
      <c r="BK29" s="1005"/>
      <c r="BL29" s="1005"/>
      <c r="BM29" s="1005"/>
      <c r="BN29" s="1005"/>
      <c r="BO29" s="1005"/>
      <c r="BP29" s="1005"/>
      <c r="BQ29" s="1005"/>
      <c r="BR29" s="1005"/>
      <c r="BS29" s="1005"/>
      <c r="BT29" s="1005"/>
      <c r="BU29" s="1005"/>
      <c r="BV29" s="1005"/>
      <c r="BW29" s="1005"/>
      <c r="BX29" s="1005"/>
      <c r="BY29" s="1005"/>
      <c r="BZ29" s="1005"/>
      <c r="CA29" s="1005"/>
      <c r="CB29" s="1005"/>
      <c r="CC29" s="1005"/>
      <c r="CD29" s="1005"/>
      <c r="CE29" s="1005"/>
      <c r="CF29" s="1005"/>
      <c r="CG29" s="1005"/>
      <c r="CH29" s="1005"/>
      <c r="CI29" s="1005"/>
      <c r="CJ29" s="1005"/>
      <c r="CK29" s="1005"/>
      <c r="CL29" s="1005"/>
      <c r="CM29" s="1005"/>
      <c r="CN29" s="1005"/>
      <c r="CO29" s="1005"/>
      <c r="CP29" s="1005"/>
      <c r="CQ29" s="1005"/>
      <c r="CR29" s="1005"/>
      <c r="CS29" s="1005"/>
      <c r="CT29" s="1005"/>
      <c r="CU29" s="1005"/>
      <c r="CV29" s="1005"/>
      <c r="CW29" s="1005"/>
      <c r="CX29" s="1005"/>
      <c r="CY29" s="1005"/>
      <c r="CZ29" s="1005"/>
      <c r="DA29" s="1005"/>
      <c r="DB29" s="1005"/>
      <c r="DC29" s="1005"/>
      <c r="DD29" s="1005"/>
      <c r="DE29" s="1005"/>
      <c r="DF29" s="1005"/>
      <c r="DG29" s="1005"/>
      <c r="DH29" s="1005"/>
      <c r="DI29" s="1005"/>
      <c r="DJ29" s="1005"/>
      <c r="DK29" s="1005"/>
      <c r="DL29" s="1005"/>
      <c r="DM29" s="1005"/>
      <c r="DN29" s="1005"/>
      <c r="DO29" s="1005"/>
      <c r="DP29" s="1005"/>
      <c r="DQ29" s="1005"/>
      <c r="DR29" s="1005"/>
      <c r="DS29" s="1005"/>
      <c r="DT29" s="1005"/>
      <c r="DU29" s="1005"/>
      <c r="DV29" s="1005"/>
      <c r="DW29" s="1005"/>
      <c r="DX29" s="1005"/>
      <c r="DY29" s="1005"/>
      <c r="DZ29" s="1005"/>
      <c r="EA29" s="1005"/>
      <c r="EB29" s="1005"/>
      <c r="EC29" s="1005"/>
      <c r="ED29" s="1005"/>
      <c r="EE29" s="1005"/>
      <c r="EF29" s="1005"/>
      <c r="EG29" s="1005"/>
      <c r="EH29" s="1005"/>
      <c r="EI29" s="1005"/>
      <c r="EJ29" s="1005"/>
      <c r="EK29" s="1005"/>
      <c r="EL29" s="1005"/>
      <c r="EM29" s="1005"/>
      <c r="EN29" s="1005"/>
      <c r="EO29" s="1005"/>
      <c r="EP29" s="1005"/>
      <c r="EQ29" s="1005"/>
      <c r="ER29" s="1005"/>
      <c r="ES29" s="1005"/>
      <c r="ET29" s="1005"/>
      <c r="EU29" s="1005"/>
      <c r="EV29" s="1005"/>
      <c r="EW29" s="1005"/>
      <c r="EX29" s="1005"/>
      <c r="EY29" s="1005"/>
      <c r="EZ29" s="1005"/>
      <c r="FA29" s="1005"/>
      <c r="FB29" s="1005"/>
      <c r="FC29" s="1005"/>
      <c r="FD29" s="1005"/>
      <c r="FE29" s="1005"/>
      <c r="FF29" s="1005"/>
      <c r="FG29" s="1006"/>
    </row>
    <row r="30" spans="1:163" s="600" customFormat="1">
      <c r="A30" s="911">
        <v>2</v>
      </c>
      <c r="B30" s="911"/>
      <c r="C30" s="911"/>
      <c r="D30" s="911"/>
      <c r="E30" s="911"/>
      <c r="F30" s="911"/>
      <c r="G30" s="911"/>
      <c r="H30" s="911"/>
      <c r="I30" s="911"/>
      <c r="J30" s="911"/>
      <c r="K30" s="911"/>
      <c r="L30" s="1178" t="s">
        <v>661</v>
      </c>
      <c r="M30" s="1179"/>
      <c r="N30" s="1002" t="s">
        <v>2929</v>
      </c>
      <c r="O30" s="1005"/>
      <c r="P30" s="1005"/>
      <c r="Q30" s="1005"/>
      <c r="R30" s="1005"/>
      <c r="S30" s="1005"/>
      <c r="T30" s="1005"/>
      <c r="U30" s="1005"/>
      <c r="V30" s="1005"/>
      <c r="W30" s="1005"/>
      <c r="X30" s="1005"/>
      <c r="Y30" s="1005"/>
      <c r="Z30" s="1005"/>
      <c r="AA30" s="1005"/>
      <c r="AB30" s="1005"/>
      <c r="AC30" s="1005"/>
      <c r="AD30" s="1005"/>
      <c r="AE30" s="1005"/>
      <c r="AF30" s="1005"/>
      <c r="AG30" s="1005"/>
      <c r="AH30" s="1005"/>
      <c r="AI30" s="1005"/>
      <c r="AJ30" s="1005"/>
      <c r="AK30" s="1005"/>
      <c r="AL30" s="1005"/>
      <c r="AM30" s="1005"/>
      <c r="AN30" s="1005"/>
      <c r="AO30" s="1005"/>
      <c r="AP30" s="1005"/>
      <c r="AQ30" s="1005"/>
      <c r="AR30" s="1005"/>
      <c r="AS30" s="1005"/>
      <c r="AT30" s="1005"/>
      <c r="AU30" s="1005"/>
      <c r="AV30" s="1005"/>
      <c r="AW30" s="1005"/>
      <c r="AX30" s="1005"/>
      <c r="AY30" s="1005"/>
      <c r="AZ30" s="1005"/>
      <c r="BA30" s="1005"/>
      <c r="BB30" s="1005"/>
      <c r="BC30" s="1005"/>
      <c r="BD30" s="1005"/>
      <c r="BE30" s="1005"/>
      <c r="BF30" s="1005"/>
      <c r="BG30" s="1005"/>
      <c r="BH30" s="1005"/>
      <c r="BI30" s="1005"/>
      <c r="BJ30" s="1005"/>
      <c r="BK30" s="1005"/>
      <c r="BL30" s="1005"/>
      <c r="BM30" s="1005"/>
      <c r="BN30" s="1005"/>
      <c r="BO30" s="1005"/>
      <c r="BP30" s="1005"/>
      <c r="BQ30" s="1005"/>
      <c r="BR30" s="1005"/>
      <c r="BS30" s="1005"/>
      <c r="BT30" s="1005"/>
      <c r="BU30" s="1005"/>
      <c r="BV30" s="1005"/>
      <c r="BW30" s="1005"/>
      <c r="BX30" s="1005"/>
      <c r="BY30" s="1005"/>
      <c r="BZ30" s="1005"/>
      <c r="CA30" s="1005"/>
      <c r="CB30" s="1005"/>
      <c r="CC30" s="1005"/>
      <c r="CD30" s="1005"/>
      <c r="CE30" s="1005"/>
      <c r="CF30" s="1005"/>
      <c r="CG30" s="1005"/>
      <c r="CH30" s="1005"/>
      <c r="CI30" s="1005"/>
      <c r="CJ30" s="1005"/>
      <c r="CK30" s="1005"/>
      <c r="CL30" s="1005"/>
      <c r="CM30" s="1005"/>
      <c r="CN30" s="1005"/>
      <c r="CO30" s="1005"/>
      <c r="CP30" s="1005"/>
      <c r="CQ30" s="1005"/>
      <c r="CR30" s="1005"/>
      <c r="CS30" s="1005"/>
      <c r="CT30" s="1005"/>
      <c r="CU30" s="1005"/>
      <c r="CV30" s="1005"/>
      <c r="CW30" s="1005"/>
      <c r="CX30" s="1005"/>
      <c r="CY30" s="1005"/>
      <c r="CZ30" s="1005"/>
      <c r="DA30" s="1005"/>
      <c r="DB30" s="1005"/>
      <c r="DC30" s="1005"/>
      <c r="DD30" s="1005"/>
      <c r="DE30" s="1005"/>
      <c r="DF30" s="1005"/>
      <c r="DG30" s="1005"/>
      <c r="DH30" s="1005"/>
      <c r="DI30" s="1005"/>
      <c r="DJ30" s="1005"/>
      <c r="DK30" s="1005"/>
      <c r="DL30" s="1005"/>
      <c r="DM30" s="1005"/>
      <c r="DN30" s="1005"/>
      <c r="DO30" s="1005"/>
      <c r="DP30" s="1005"/>
      <c r="DQ30" s="1005"/>
      <c r="DR30" s="1005"/>
      <c r="DS30" s="1005"/>
      <c r="DT30" s="1005"/>
      <c r="DU30" s="1005"/>
      <c r="DV30" s="1005"/>
      <c r="DW30" s="1005"/>
      <c r="DX30" s="1005"/>
      <c r="DY30" s="1005"/>
      <c r="DZ30" s="1005"/>
      <c r="EA30" s="1005"/>
      <c r="EB30" s="1005"/>
      <c r="EC30" s="1005"/>
      <c r="ED30" s="1005"/>
      <c r="EE30" s="1005"/>
      <c r="EF30" s="1005"/>
      <c r="EG30" s="1005"/>
      <c r="EH30" s="1005"/>
      <c r="EI30" s="1005"/>
      <c r="EJ30" s="1005"/>
      <c r="EK30" s="1005"/>
      <c r="EL30" s="1005"/>
      <c r="EM30" s="1005"/>
      <c r="EN30" s="1005"/>
      <c r="EO30" s="1005"/>
      <c r="EP30" s="1005"/>
      <c r="EQ30" s="1005"/>
      <c r="ER30" s="1005"/>
      <c r="ES30" s="1005"/>
      <c r="ET30" s="1005"/>
      <c r="EU30" s="1005"/>
      <c r="EV30" s="1005"/>
      <c r="EW30" s="1005"/>
      <c r="EX30" s="1005"/>
      <c r="EY30" s="1005"/>
      <c r="EZ30" s="1005"/>
      <c r="FA30" s="1005"/>
      <c r="FB30" s="1005"/>
      <c r="FC30" s="1005"/>
      <c r="FD30" s="1005"/>
      <c r="FE30" s="1005"/>
      <c r="FF30" s="1005"/>
      <c r="FG30" s="1006"/>
    </row>
    <row r="31" spans="1:163" s="600" customFormat="1">
      <c r="A31" s="911">
        <v>2</v>
      </c>
      <c r="B31" s="911"/>
      <c r="C31" s="911"/>
      <c r="D31" s="911"/>
      <c r="E31" s="911"/>
      <c r="F31" s="911"/>
      <c r="G31" s="911"/>
      <c r="H31" s="911"/>
      <c r="I31" s="911"/>
      <c r="J31" s="911"/>
      <c r="K31" s="911"/>
      <c r="L31" s="1180" t="s">
        <v>264</v>
      </c>
      <c r="M31" s="1181"/>
      <c r="N31" s="1002">
        <v>0</v>
      </c>
      <c r="O31" s="1005"/>
      <c r="P31" s="1005"/>
      <c r="Q31" s="1005"/>
      <c r="R31" s="1005"/>
      <c r="S31" s="1005"/>
      <c r="T31" s="1005"/>
      <c r="U31" s="1005"/>
      <c r="V31" s="1005"/>
      <c r="W31" s="1005"/>
      <c r="X31" s="1005"/>
      <c r="Y31" s="1005"/>
      <c r="Z31" s="1005"/>
      <c r="AA31" s="1005"/>
      <c r="AB31" s="1005"/>
      <c r="AC31" s="1005"/>
      <c r="AD31" s="1005"/>
      <c r="AE31" s="1005"/>
      <c r="AF31" s="1005"/>
      <c r="AG31" s="1005"/>
      <c r="AH31" s="1005"/>
      <c r="AI31" s="1005"/>
      <c r="AJ31" s="1005"/>
      <c r="AK31" s="1005"/>
      <c r="AL31" s="1005"/>
      <c r="AM31" s="1005"/>
      <c r="AN31" s="1005"/>
      <c r="AO31" s="1005"/>
      <c r="AP31" s="1005"/>
      <c r="AQ31" s="1005"/>
      <c r="AR31" s="1005"/>
      <c r="AS31" s="1005"/>
      <c r="AT31" s="1005"/>
      <c r="AU31" s="1005"/>
      <c r="AV31" s="1005"/>
      <c r="AW31" s="1005"/>
      <c r="AX31" s="1005"/>
      <c r="AY31" s="1005"/>
      <c r="AZ31" s="1005"/>
      <c r="BA31" s="1005"/>
      <c r="BB31" s="1005"/>
      <c r="BC31" s="1005"/>
      <c r="BD31" s="1005"/>
      <c r="BE31" s="1005"/>
      <c r="BF31" s="1005"/>
      <c r="BG31" s="1005"/>
      <c r="BH31" s="1005"/>
      <c r="BI31" s="1005"/>
      <c r="BJ31" s="1005"/>
      <c r="BK31" s="1005"/>
      <c r="BL31" s="1005"/>
      <c r="BM31" s="1005"/>
      <c r="BN31" s="1005"/>
      <c r="BO31" s="1005"/>
      <c r="BP31" s="1005"/>
      <c r="BQ31" s="1005"/>
      <c r="BR31" s="1005"/>
      <c r="BS31" s="1005"/>
      <c r="BT31" s="1005"/>
      <c r="BU31" s="1005"/>
      <c r="BV31" s="1005"/>
      <c r="BW31" s="1005"/>
      <c r="BX31" s="1005"/>
      <c r="BY31" s="1005"/>
      <c r="BZ31" s="1005"/>
      <c r="CA31" s="1005"/>
      <c r="CB31" s="1005"/>
      <c r="CC31" s="1005"/>
      <c r="CD31" s="1005"/>
      <c r="CE31" s="1005"/>
      <c r="CF31" s="1005"/>
      <c r="CG31" s="1005"/>
      <c r="CH31" s="1005"/>
      <c r="CI31" s="1005"/>
      <c r="CJ31" s="1005"/>
      <c r="CK31" s="1005"/>
      <c r="CL31" s="1005"/>
      <c r="CM31" s="1005"/>
      <c r="CN31" s="1005"/>
      <c r="CO31" s="1005"/>
      <c r="CP31" s="1005"/>
      <c r="CQ31" s="1005"/>
      <c r="CR31" s="1005"/>
      <c r="CS31" s="1005"/>
      <c r="CT31" s="1005"/>
      <c r="CU31" s="1005"/>
      <c r="CV31" s="1005"/>
      <c r="CW31" s="1005"/>
      <c r="CX31" s="1005"/>
      <c r="CY31" s="1005"/>
      <c r="CZ31" s="1005"/>
      <c r="DA31" s="1005"/>
      <c r="DB31" s="1005"/>
      <c r="DC31" s="1005"/>
      <c r="DD31" s="1005"/>
      <c r="DE31" s="1005"/>
      <c r="DF31" s="1005"/>
      <c r="DG31" s="1005"/>
      <c r="DH31" s="1005"/>
      <c r="DI31" s="1005"/>
      <c r="DJ31" s="1005"/>
      <c r="DK31" s="1005"/>
      <c r="DL31" s="1005"/>
      <c r="DM31" s="1005"/>
      <c r="DN31" s="1005"/>
      <c r="DO31" s="1005"/>
      <c r="DP31" s="1005"/>
      <c r="DQ31" s="1005"/>
      <c r="DR31" s="1005"/>
      <c r="DS31" s="1005"/>
      <c r="DT31" s="1005"/>
      <c r="DU31" s="1005"/>
      <c r="DV31" s="1005"/>
      <c r="DW31" s="1005"/>
      <c r="DX31" s="1005"/>
      <c r="DY31" s="1005"/>
      <c r="DZ31" s="1005"/>
      <c r="EA31" s="1005"/>
      <c r="EB31" s="1005"/>
      <c r="EC31" s="1005"/>
      <c r="ED31" s="1005"/>
      <c r="EE31" s="1005"/>
      <c r="EF31" s="1005"/>
      <c r="EG31" s="1005"/>
      <c r="EH31" s="1005"/>
      <c r="EI31" s="1005"/>
      <c r="EJ31" s="1005"/>
      <c r="EK31" s="1005"/>
      <c r="EL31" s="1005"/>
      <c r="EM31" s="1005"/>
      <c r="EN31" s="1005"/>
      <c r="EO31" s="1005"/>
      <c r="EP31" s="1005"/>
      <c r="EQ31" s="1005"/>
      <c r="ER31" s="1005"/>
      <c r="ES31" s="1005"/>
      <c r="ET31" s="1005"/>
      <c r="EU31" s="1005"/>
      <c r="EV31" s="1005"/>
      <c r="EW31" s="1005"/>
      <c r="EX31" s="1005"/>
      <c r="EY31" s="1005"/>
      <c r="EZ31" s="1005"/>
      <c r="FA31" s="1005"/>
      <c r="FB31" s="1005"/>
      <c r="FC31" s="1005"/>
      <c r="FD31" s="1005"/>
      <c r="FE31" s="1005"/>
      <c r="FF31" s="1005"/>
      <c r="FG31" s="1006"/>
    </row>
    <row r="32" spans="1:163" s="346" customFormat="1">
      <c r="A32" s="911">
        <v>2</v>
      </c>
      <c r="B32" s="1007"/>
      <c r="C32" s="911" t="s">
        <v>1407</v>
      </c>
      <c r="D32" s="911" t="s">
        <v>1609</v>
      </c>
      <c r="E32" s="1007"/>
      <c r="F32" s="1007"/>
      <c r="G32" s="1007"/>
      <c r="H32" s="1007"/>
      <c r="I32" s="1007"/>
      <c r="J32" s="1007"/>
      <c r="K32" s="1007"/>
      <c r="L32" s="1008" t="s">
        <v>676</v>
      </c>
      <c r="M32" s="1009" t="s">
        <v>655</v>
      </c>
      <c r="N32" s="1010">
        <v>4.8099999999999996</v>
      </c>
      <c r="O32" s="1010">
        <v>2.38</v>
      </c>
      <c r="P32" s="1011">
        <v>-50.519750519750517</v>
      </c>
      <c r="Q32" s="1010"/>
      <c r="R32" s="1010"/>
      <c r="S32" s="1011">
        <v>0</v>
      </c>
      <c r="T32" s="1010"/>
      <c r="U32" s="1010"/>
      <c r="V32" s="1011">
        <v>0</v>
      </c>
      <c r="W32" s="1010"/>
      <c r="X32" s="1010"/>
      <c r="Y32" s="1011">
        <v>0</v>
      </c>
      <c r="Z32" s="1010"/>
      <c r="AA32" s="1010"/>
      <c r="AB32" s="1011">
        <v>0</v>
      </c>
      <c r="AC32" s="1010"/>
      <c r="AD32" s="1010"/>
      <c r="AE32" s="1011">
        <v>0</v>
      </c>
      <c r="AF32" s="1010"/>
      <c r="AG32" s="1010"/>
      <c r="AH32" s="1011">
        <v>0</v>
      </c>
      <c r="AI32" s="1010"/>
      <c r="AJ32" s="1010"/>
      <c r="AK32" s="1011">
        <v>0</v>
      </c>
      <c r="AL32" s="1010"/>
      <c r="AM32" s="1010"/>
      <c r="AN32" s="1011">
        <v>0</v>
      </c>
      <c r="AO32" s="1010"/>
      <c r="AP32" s="1010"/>
      <c r="AQ32" s="1011">
        <v>0</v>
      </c>
      <c r="AR32" s="1010"/>
      <c r="AS32" s="1010"/>
      <c r="AT32" s="1011">
        <v>0</v>
      </c>
      <c r="AU32" s="1010"/>
      <c r="AV32" s="1010"/>
      <c r="AW32" s="1011">
        <v>0</v>
      </c>
      <c r="AX32" s="1010"/>
      <c r="AY32" s="1010"/>
      <c r="AZ32" s="1011">
        <v>0</v>
      </c>
      <c r="BA32" s="1010"/>
      <c r="BB32" s="1010"/>
      <c r="BC32" s="1011">
        <v>0</v>
      </c>
      <c r="BD32" s="1010"/>
      <c r="BE32" s="1010"/>
      <c r="BF32" s="1011">
        <v>0</v>
      </c>
      <c r="BG32" s="1010"/>
      <c r="BH32" s="1010"/>
      <c r="BI32" s="1011">
        <v>0</v>
      </c>
      <c r="BJ32" s="1010"/>
      <c r="BK32" s="1010"/>
      <c r="BL32" s="1011">
        <v>0</v>
      </c>
      <c r="BM32" s="1010"/>
      <c r="BN32" s="1010"/>
      <c r="BO32" s="1011">
        <v>0</v>
      </c>
      <c r="BP32" s="1010"/>
      <c r="BQ32" s="1010"/>
      <c r="BR32" s="1011">
        <v>0</v>
      </c>
      <c r="BS32" s="1010"/>
      <c r="BT32" s="1010"/>
      <c r="BU32" s="1011">
        <v>0</v>
      </c>
      <c r="BV32" s="1010"/>
      <c r="BW32" s="1010"/>
      <c r="BX32" s="1011">
        <v>0</v>
      </c>
      <c r="BY32" s="1010"/>
      <c r="BZ32" s="1010"/>
      <c r="CA32" s="1011">
        <v>0</v>
      </c>
      <c r="CB32" s="1010"/>
      <c r="CC32" s="1010"/>
      <c r="CD32" s="1011">
        <v>0</v>
      </c>
      <c r="CE32" s="1010"/>
      <c r="CF32" s="1010"/>
      <c r="CG32" s="1011">
        <v>0</v>
      </c>
      <c r="CH32" s="1010"/>
      <c r="CI32" s="1010"/>
      <c r="CJ32" s="1011">
        <v>0</v>
      </c>
      <c r="CK32" s="1010"/>
      <c r="CL32" s="1010"/>
      <c r="CM32" s="1011">
        <v>0</v>
      </c>
      <c r="CN32" s="1010"/>
      <c r="CO32" s="1010"/>
      <c r="CP32" s="1011">
        <v>0</v>
      </c>
      <c r="CQ32" s="1010"/>
      <c r="CR32" s="1010"/>
      <c r="CS32" s="1011">
        <v>0</v>
      </c>
      <c r="CT32" s="1010"/>
      <c r="CU32" s="1010"/>
      <c r="CV32" s="1011">
        <v>0</v>
      </c>
      <c r="CW32" s="1010"/>
      <c r="CX32" s="1010"/>
      <c r="CY32" s="1011">
        <v>0</v>
      </c>
      <c r="CZ32" s="1010"/>
      <c r="DA32" s="1010"/>
      <c r="DB32" s="1011">
        <v>0</v>
      </c>
      <c r="DC32" s="1010"/>
      <c r="DD32" s="1010"/>
      <c r="DE32" s="1011">
        <v>0</v>
      </c>
      <c r="DF32" s="1010"/>
      <c r="DG32" s="1010"/>
      <c r="DH32" s="1011">
        <v>0</v>
      </c>
      <c r="DI32" s="1010"/>
      <c r="DJ32" s="1010"/>
      <c r="DK32" s="1011">
        <v>0</v>
      </c>
      <c r="DL32" s="1010"/>
      <c r="DM32" s="1010"/>
      <c r="DN32" s="1011">
        <v>0</v>
      </c>
      <c r="DO32" s="1010"/>
      <c r="DP32" s="1010"/>
      <c r="DQ32" s="1011">
        <v>0</v>
      </c>
      <c r="DR32" s="1010"/>
      <c r="DS32" s="1010"/>
      <c r="DT32" s="1011">
        <v>0</v>
      </c>
      <c r="DU32" s="1010"/>
      <c r="DV32" s="1010"/>
      <c r="DW32" s="1011">
        <v>0</v>
      </c>
      <c r="DX32" s="1010"/>
      <c r="DY32" s="1010"/>
      <c r="DZ32" s="1011">
        <v>0</v>
      </c>
      <c r="EA32" s="1010"/>
      <c r="EB32" s="1010"/>
      <c r="EC32" s="1011">
        <v>0</v>
      </c>
      <c r="ED32" s="1010"/>
      <c r="EE32" s="1010"/>
      <c r="EF32" s="1011">
        <v>0</v>
      </c>
      <c r="EG32" s="1010"/>
      <c r="EH32" s="1010"/>
      <c r="EI32" s="1011">
        <v>0</v>
      </c>
      <c r="EJ32" s="1010"/>
      <c r="EK32" s="1010"/>
      <c r="EL32" s="1011">
        <v>0</v>
      </c>
      <c r="EM32" s="1010"/>
      <c r="EN32" s="1010"/>
      <c r="EO32" s="1011">
        <v>0</v>
      </c>
      <c r="EP32" s="1010"/>
      <c r="EQ32" s="1010"/>
      <c r="ER32" s="1011">
        <v>0</v>
      </c>
      <c r="ES32" s="1010"/>
      <c r="ET32" s="1010"/>
      <c r="EU32" s="1011">
        <v>0</v>
      </c>
      <c r="EV32" s="1010"/>
      <c r="EW32" s="1010"/>
      <c r="EX32" s="1011">
        <v>0</v>
      </c>
      <c r="EY32" s="1010"/>
      <c r="EZ32" s="1010"/>
      <c r="FA32" s="1011">
        <v>0</v>
      </c>
      <c r="FB32" s="1010"/>
      <c r="FC32" s="1010"/>
      <c r="FD32" s="1011">
        <v>0</v>
      </c>
      <c r="FE32" s="1010"/>
      <c r="FF32" s="1010"/>
      <c r="FG32" s="1011">
        <v>0</v>
      </c>
    </row>
    <row r="33" spans="1:163" s="346" customFormat="1">
      <c r="A33" s="911">
        <v>2</v>
      </c>
      <c r="B33" s="1007"/>
      <c r="C33" s="911" t="s">
        <v>1407</v>
      </c>
      <c r="D33" s="911" t="s">
        <v>1610</v>
      </c>
      <c r="E33" s="1007"/>
      <c r="F33" s="1007"/>
      <c r="G33" s="1007"/>
      <c r="H33" s="1007"/>
      <c r="I33" s="1007"/>
      <c r="J33" s="1007"/>
      <c r="K33" s="1007"/>
      <c r="L33" s="1008" t="s">
        <v>677</v>
      </c>
      <c r="M33" s="1009" t="s">
        <v>655</v>
      </c>
      <c r="N33" s="1010">
        <v>7.29</v>
      </c>
      <c r="O33" s="1010">
        <v>2.39</v>
      </c>
      <c r="P33" s="1011">
        <v>-67.215363511659802</v>
      </c>
      <c r="Q33" s="1010"/>
      <c r="R33" s="1010"/>
      <c r="S33" s="1011">
        <v>0</v>
      </c>
      <c r="T33" s="1010"/>
      <c r="U33" s="1010"/>
      <c r="V33" s="1011">
        <v>0</v>
      </c>
      <c r="W33" s="1010"/>
      <c r="X33" s="1010"/>
      <c r="Y33" s="1011">
        <v>0</v>
      </c>
      <c r="Z33" s="1010"/>
      <c r="AA33" s="1010"/>
      <c r="AB33" s="1011">
        <v>0</v>
      </c>
      <c r="AC33" s="1010"/>
      <c r="AD33" s="1010"/>
      <c r="AE33" s="1011">
        <v>0</v>
      </c>
      <c r="AF33" s="1010"/>
      <c r="AG33" s="1010"/>
      <c r="AH33" s="1011">
        <v>0</v>
      </c>
      <c r="AI33" s="1010"/>
      <c r="AJ33" s="1010"/>
      <c r="AK33" s="1011">
        <v>0</v>
      </c>
      <c r="AL33" s="1010"/>
      <c r="AM33" s="1010"/>
      <c r="AN33" s="1011">
        <v>0</v>
      </c>
      <c r="AO33" s="1010"/>
      <c r="AP33" s="1010"/>
      <c r="AQ33" s="1011">
        <v>0</v>
      </c>
      <c r="AR33" s="1010"/>
      <c r="AS33" s="1010"/>
      <c r="AT33" s="1011">
        <v>0</v>
      </c>
      <c r="AU33" s="1010"/>
      <c r="AV33" s="1010"/>
      <c r="AW33" s="1011">
        <v>0</v>
      </c>
      <c r="AX33" s="1010"/>
      <c r="AY33" s="1010"/>
      <c r="AZ33" s="1011">
        <v>0</v>
      </c>
      <c r="BA33" s="1010"/>
      <c r="BB33" s="1010"/>
      <c r="BC33" s="1011">
        <v>0</v>
      </c>
      <c r="BD33" s="1010"/>
      <c r="BE33" s="1010"/>
      <c r="BF33" s="1011">
        <v>0</v>
      </c>
      <c r="BG33" s="1010"/>
      <c r="BH33" s="1010"/>
      <c r="BI33" s="1011">
        <v>0</v>
      </c>
      <c r="BJ33" s="1010"/>
      <c r="BK33" s="1010"/>
      <c r="BL33" s="1011">
        <v>0</v>
      </c>
      <c r="BM33" s="1010"/>
      <c r="BN33" s="1010"/>
      <c r="BO33" s="1011">
        <v>0</v>
      </c>
      <c r="BP33" s="1010"/>
      <c r="BQ33" s="1010"/>
      <c r="BR33" s="1011">
        <v>0</v>
      </c>
      <c r="BS33" s="1010"/>
      <c r="BT33" s="1010"/>
      <c r="BU33" s="1011">
        <v>0</v>
      </c>
      <c r="BV33" s="1010"/>
      <c r="BW33" s="1010"/>
      <c r="BX33" s="1011">
        <v>0</v>
      </c>
      <c r="BY33" s="1010"/>
      <c r="BZ33" s="1010"/>
      <c r="CA33" s="1011">
        <v>0</v>
      </c>
      <c r="CB33" s="1010"/>
      <c r="CC33" s="1010"/>
      <c r="CD33" s="1011">
        <v>0</v>
      </c>
      <c r="CE33" s="1010"/>
      <c r="CF33" s="1010"/>
      <c r="CG33" s="1011">
        <v>0</v>
      </c>
      <c r="CH33" s="1010"/>
      <c r="CI33" s="1010"/>
      <c r="CJ33" s="1011">
        <v>0</v>
      </c>
      <c r="CK33" s="1010"/>
      <c r="CL33" s="1010"/>
      <c r="CM33" s="1011">
        <v>0</v>
      </c>
      <c r="CN33" s="1010"/>
      <c r="CO33" s="1010"/>
      <c r="CP33" s="1011">
        <v>0</v>
      </c>
      <c r="CQ33" s="1010"/>
      <c r="CR33" s="1010"/>
      <c r="CS33" s="1011">
        <v>0</v>
      </c>
      <c r="CT33" s="1010"/>
      <c r="CU33" s="1010"/>
      <c r="CV33" s="1011">
        <v>0</v>
      </c>
      <c r="CW33" s="1010"/>
      <c r="CX33" s="1010"/>
      <c r="CY33" s="1011">
        <v>0</v>
      </c>
      <c r="CZ33" s="1010"/>
      <c r="DA33" s="1010"/>
      <c r="DB33" s="1011">
        <v>0</v>
      </c>
      <c r="DC33" s="1010"/>
      <c r="DD33" s="1010"/>
      <c r="DE33" s="1011">
        <v>0</v>
      </c>
      <c r="DF33" s="1010"/>
      <c r="DG33" s="1010"/>
      <c r="DH33" s="1011">
        <v>0</v>
      </c>
      <c r="DI33" s="1010"/>
      <c r="DJ33" s="1010"/>
      <c r="DK33" s="1011">
        <v>0</v>
      </c>
      <c r="DL33" s="1010"/>
      <c r="DM33" s="1010"/>
      <c r="DN33" s="1011">
        <v>0</v>
      </c>
      <c r="DO33" s="1010"/>
      <c r="DP33" s="1010"/>
      <c r="DQ33" s="1011">
        <v>0</v>
      </c>
      <c r="DR33" s="1010"/>
      <c r="DS33" s="1010"/>
      <c r="DT33" s="1011">
        <v>0</v>
      </c>
      <c r="DU33" s="1010"/>
      <c r="DV33" s="1010"/>
      <c r="DW33" s="1011">
        <v>0</v>
      </c>
      <c r="DX33" s="1010"/>
      <c r="DY33" s="1010"/>
      <c r="DZ33" s="1011">
        <v>0</v>
      </c>
      <c r="EA33" s="1010"/>
      <c r="EB33" s="1010"/>
      <c r="EC33" s="1011">
        <v>0</v>
      </c>
      <c r="ED33" s="1010"/>
      <c r="EE33" s="1010"/>
      <c r="EF33" s="1011">
        <v>0</v>
      </c>
      <c r="EG33" s="1010"/>
      <c r="EH33" s="1010"/>
      <c r="EI33" s="1011">
        <v>0</v>
      </c>
      <c r="EJ33" s="1010"/>
      <c r="EK33" s="1010"/>
      <c r="EL33" s="1011">
        <v>0</v>
      </c>
      <c r="EM33" s="1010"/>
      <c r="EN33" s="1010"/>
      <c r="EO33" s="1011">
        <v>0</v>
      </c>
      <c r="EP33" s="1010"/>
      <c r="EQ33" s="1010"/>
      <c r="ER33" s="1011">
        <v>0</v>
      </c>
      <c r="ES33" s="1010"/>
      <c r="ET33" s="1010"/>
      <c r="EU33" s="1011">
        <v>0</v>
      </c>
      <c r="EV33" s="1010"/>
      <c r="EW33" s="1010"/>
      <c r="EX33" s="1011">
        <v>0</v>
      </c>
      <c r="EY33" s="1010"/>
      <c r="EZ33" s="1010"/>
      <c r="FA33" s="1011">
        <v>0</v>
      </c>
      <c r="FB33" s="1010"/>
      <c r="FC33" s="1010"/>
      <c r="FD33" s="1011">
        <v>0</v>
      </c>
      <c r="FE33" s="1010"/>
      <c r="FF33" s="1010"/>
      <c r="FG33" s="1011">
        <v>0</v>
      </c>
    </row>
    <row r="34" spans="1:163" s="600" customFormat="1">
      <c r="A34" s="911">
        <v>2</v>
      </c>
      <c r="B34" s="911"/>
      <c r="C34" s="911" t="s">
        <v>1408</v>
      </c>
      <c r="D34" s="911"/>
      <c r="E34" s="911"/>
      <c r="F34" s="911"/>
      <c r="G34" s="911"/>
      <c r="H34" s="911"/>
      <c r="I34" s="911"/>
      <c r="J34" s="911"/>
      <c r="K34" s="911"/>
      <c r="L34" s="1012" t="s">
        <v>663</v>
      </c>
      <c r="M34" s="1013" t="s">
        <v>137</v>
      </c>
      <c r="N34" s="1014">
        <v>151.55925155925155</v>
      </c>
      <c r="O34" s="1014">
        <v>100.42016806722691</v>
      </c>
      <c r="P34" s="1015"/>
      <c r="Q34" s="1014">
        <v>0</v>
      </c>
      <c r="R34" s="1014">
        <v>0</v>
      </c>
      <c r="S34" s="1015"/>
      <c r="T34" s="1014">
        <v>0</v>
      </c>
      <c r="U34" s="1014">
        <v>0</v>
      </c>
      <c r="V34" s="1015"/>
      <c r="W34" s="1014">
        <v>0</v>
      </c>
      <c r="X34" s="1014">
        <v>0</v>
      </c>
      <c r="Y34" s="1015"/>
      <c r="Z34" s="1014">
        <v>0</v>
      </c>
      <c r="AA34" s="1014">
        <v>0</v>
      </c>
      <c r="AB34" s="1015"/>
      <c r="AC34" s="1014">
        <v>0</v>
      </c>
      <c r="AD34" s="1014">
        <v>0</v>
      </c>
      <c r="AE34" s="1015"/>
      <c r="AF34" s="1014">
        <v>0</v>
      </c>
      <c r="AG34" s="1014">
        <v>0</v>
      </c>
      <c r="AH34" s="1015"/>
      <c r="AI34" s="1014">
        <v>0</v>
      </c>
      <c r="AJ34" s="1014">
        <v>0</v>
      </c>
      <c r="AK34" s="1015"/>
      <c r="AL34" s="1014">
        <v>0</v>
      </c>
      <c r="AM34" s="1014">
        <v>0</v>
      </c>
      <c r="AN34" s="1015"/>
      <c r="AO34" s="1014">
        <v>0</v>
      </c>
      <c r="AP34" s="1014">
        <v>0</v>
      </c>
      <c r="AQ34" s="1015"/>
      <c r="AR34" s="1014">
        <v>0</v>
      </c>
      <c r="AS34" s="1014">
        <v>0</v>
      </c>
      <c r="AT34" s="1015"/>
      <c r="AU34" s="1014">
        <v>0</v>
      </c>
      <c r="AV34" s="1014">
        <v>0</v>
      </c>
      <c r="AW34" s="1015"/>
      <c r="AX34" s="1014">
        <v>0</v>
      </c>
      <c r="AY34" s="1014">
        <v>0</v>
      </c>
      <c r="AZ34" s="1015"/>
      <c r="BA34" s="1014">
        <v>0</v>
      </c>
      <c r="BB34" s="1014">
        <v>0</v>
      </c>
      <c r="BC34" s="1015"/>
      <c r="BD34" s="1014">
        <v>0</v>
      </c>
      <c r="BE34" s="1014">
        <v>0</v>
      </c>
      <c r="BF34" s="1015"/>
      <c r="BG34" s="1014">
        <v>0</v>
      </c>
      <c r="BH34" s="1014">
        <v>0</v>
      </c>
      <c r="BI34" s="1015"/>
      <c r="BJ34" s="1014">
        <v>0</v>
      </c>
      <c r="BK34" s="1014">
        <v>0</v>
      </c>
      <c r="BL34" s="1015"/>
      <c r="BM34" s="1014">
        <v>0</v>
      </c>
      <c r="BN34" s="1014">
        <v>0</v>
      </c>
      <c r="BO34" s="1015"/>
      <c r="BP34" s="1014">
        <v>0</v>
      </c>
      <c r="BQ34" s="1014">
        <v>0</v>
      </c>
      <c r="BR34" s="1015"/>
      <c r="BS34" s="1014">
        <v>0</v>
      </c>
      <c r="BT34" s="1014">
        <v>0</v>
      </c>
      <c r="BU34" s="1015"/>
      <c r="BV34" s="1014">
        <v>0</v>
      </c>
      <c r="BW34" s="1014">
        <v>0</v>
      </c>
      <c r="BX34" s="1015"/>
      <c r="BY34" s="1014">
        <v>0</v>
      </c>
      <c r="BZ34" s="1014">
        <v>0</v>
      </c>
      <c r="CA34" s="1015"/>
      <c r="CB34" s="1014">
        <v>0</v>
      </c>
      <c r="CC34" s="1014">
        <v>0</v>
      </c>
      <c r="CD34" s="1015"/>
      <c r="CE34" s="1014">
        <v>0</v>
      </c>
      <c r="CF34" s="1014">
        <v>0</v>
      </c>
      <c r="CG34" s="1015"/>
      <c r="CH34" s="1014">
        <v>0</v>
      </c>
      <c r="CI34" s="1014">
        <v>0</v>
      </c>
      <c r="CJ34" s="1015"/>
      <c r="CK34" s="1014">
        <v>0</v>
      </c>
      <c r="CL34" s="1014">
        <v>0</v>
      </c>
      <c r="CM34" s="1015"/>
      <c r="CN34" s="1014">
        <v>0</v>
      </c>
      <c r="CO34" s="1014">
        <v>0</v>
      </c>
      <c r="CP34" s="1015"/>
      <c r="CQ34" s="1014">
        <v>0</v>
      </c>
      <c r="CR34" s="1014">
        <v>0</v>
      </c>
      <c r="CS34" s="1015"/>
      <c r="CT34" s="1014">
        <v>0</v>
      </c>
      <c r="CU34" s="1014">
        <v>0</v>
      </c>
      <c r="CV34" s="1015"/>
      <c r="CW34" s="1014">
        <v>0</v>
      </c>
      <c r="CX34" s="1014">
        <v>0</v>
      </c>
      <c r="CY34" s="1015"/>
      <c r="CZ34" s="1014">
        <v>0</v>
      </c>
      <c r="DA34" s="1014">
        <v>0</v>
      </c>
      <c r="DB34" s="1015"/>
      <c r="DC34" s="1014">
        <v>0</v>
      </c>
      <c r="DD34" s="1014">
        <v>0</v>
      </c>
      <c r="DE34" s="1015"/>
      <c r="DF34" s="1014">
        <v>0</v>
      </c>
      <c r="DG34" s="1014">
        <v>0</v>
      </c>
      <c r="DH34" s="1015"/>
      <c r="DI34" s="1014">
        <v>0</v>
      </c>
      <c r="DJ34" s="1014">
        <v>0</v>
      </c>
      <c r="DK34" s="1015"/>
      <c r="DL34" s="1014">
        <v>0</v>
      </c>
      <c r="DM34" s="1014">
        <v>0</v>
      </c>
      <c r="DN34" s="1015"/>
      <c r="DO34" s="1014">
        <v>0</v>
      </c>
      <c r="DP34" s="1014">
        <v>0</v>
      </c>
      <c r="DQ34" s="1015"/>
      <c r="DR34" s="1014">
        <v>0</v>
      </c>
      <c r="DS34" s="1014">
        <v>0</v>
      </c>
      <c r="DT34" s="1015"/>
      <c r="DU34" s="1014">
        <v>0</v>
      </c>
      <c r="DV34" s="1014">
        <v>0</v>
      </c>
      <c r="DW34" s="1015"/>
      <c r="DX34" s="1014">
        <v>0</v>
      </c>
      <c r="DY34" s="1014">
        <v>0</v>
      </c>
      <c r="DZ34" s="1015"/>
      <c r="EA34" s="1014">
        <v>0</v>
      </c>
      <c r="EB34" s="1014">
        <v>0</v>
      </c>
      <c r="EC34" s="1015"/>
      <c r="ED34" s="1014">
        <v>0</v>
      </c>
      <c r="EE34" s="1014">
        <v>0</v>
      </c>
      <c r="EF34" s="1015"/>
      <c r="EG34" s="1014">
        <v>0</v>
      </c>
      <c r="EH34" s="1014">
        <v>0</v>
      </c>
      <c r="EI34" s="1015"/>
      <c r="EJ34" s="1014">
        <v>0</v>
      </c>
      <c r="EK34" s="1014">
        <v>0</v>
      </c>
      <c r="EL34" s="1015"/>
      <c r="EM34" s="1014">
        <v>0</v>
      </c>
      <c r="EN34" s="1014">
        <v>0</v>
      </c>
      <c r="EO34" s="1015"/>
      <c r="EP34" s="1014">
        <v>0</v>
      </c>
      <c r="EQ34" s="1014">
        <v>0</v>
      </c>
      <c r="ER34" s="1015"/>
      <c r="ES34" s="1014">
        <v>0</v>
      </c>
      <c r="ET34" s="1014">
        <v>0</v>
      </c>
      <c r="EU34" s="1015"/>
      <c r="EV34" s="1014">
        <v>0</v>
      </c>
      <c r="EW34" s="1014">
        <v>0</v>
      </c>
      <c r="EX34" s="1015"/>
      <c r="EY34" s="1014">
        <v>0</v>
      </c>
      <c r="EZ34" s="1014">
        <v>0</v>
      </c>
      <c r="FA34" s="1015"/>
      <c r="FB34" s="1014">
        <v>0</v>
      </c>
      <c r="FC34" s="1014">
        <v>0</v>
      </c>
      <c r="FD34" s="1015"/>
      <c r="FE34" s="1014">
        <v>0</v>
      </c>
      <c r="FF34" s="1014">
        <v>0</v>
      </c>
      <c r="FG34" s="1016"/>
    </row>
    <row r="35" spans="1:163">
      <c r="A35" s="911"/>
      <c r="B35" s="911"/>
      <c r="C35" s="911"/>
      <c r="D35" s="911"/>
      <c r="E35" s="911"/>
      <c r="F35" s="911"/>
      <c r="G35" s="991" t="b">
        <v>1</v>
      </c>
      <c r="H35" s="911"/>
      <c r="I35" s="911"/>
      <c r="J35" s="911"/>
      <c r="K35" s="911"/>
      <c r="L35" s="988"/>
      <c r="M35" s="989"/>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1"/>
      <c r="AY35" s="911"/>
      <c r="AZ35" s="911"/>
      <c r="BA35" s="911"/>
      <c r="BB35" s="911"/>
      <c r="BC35" s="911"/>
      <c r="BD35" s="911"/>
      <c r="BE35" s="911"/>
      <c r="BF35" s="911"/>
      <c r="BG35" s="911"/>
      <c r="BH35" s="911"/>
      <c r="BI35" s="911"/>
      <c r="BJ35" s="911"/>
      <c r="BK35" s="911"/>
      <c r="BL35" s="911"/>
      <c r="BM35" s="911"/>
      <c r="BN35" s="911"/>
      <c r="BO35" s="911"/>
      <c r="BP35" s="911"/>
      <c r="BQ35" s="911"/>
      <c r="BR35" s="911"/>
      <c r="BS35" s="911"/>
      <c r="BT35" s="911"/>
      <c r="BU35" s="911"/>
      <c r="BV35" s="911"/>
      <c r="BW35" s="911"/>
      <c r="BX35" s="911"/>
      <c r="BY35" s="911"/>
      <c r="BZ35" s="911"/>
      <c r="CA35" s="911"/>
      <c r="CB35" s="911"/>
      <c r="CC35" s="911"/>
      <c r="CD35" s="911"/>
      <c r="CE35" s="911"/>
      <c r="CF35" s="911"/>
      <c r="CG35" s="911"/>
      <c r="CH35" s="911"/>
      <c r="CI35" s="911"/>
      <c r="CJ35" s="911"/>
      <c r="CK35" s="911"/>
      <c r="CL35" s="911"/>
      <c r="CM35" s="911"/>
      <c r="CN35" s="911"/>
      <c r="CO35" s="911"/>
      <c r="CP35" s="911"/>
      <c r="CQ35" s="911"/>
      <c r="CR35" s="911"/>
      <c r="CS35" s="911"/>
      <c r="CT35" s="911"/>
      <c r="CU35" s="911"/>
      <c r="CV35" s="911"/>
      <c r="CW35" s="911"/>
      <c r="CX35" s="911"/>
      <c r="CY35" s="911"/>
      <c r="CZ35" s="911"/>
      <c r="DA35" s="911"/>
      <c r="DB35" s="911"/>
      <c r="DC35" s="911"/>
      <c r="DD35" s="911"/>
      <c r="DE35" s="911"/>
      <c r="DF35" s="911"/>
      <c r="DG35" s="911"/>
      <c r="DH35" s="911"/>
      <c r="DI35" s="911"/>
      <c r="DJ35" s="911"/>
      <c r="DK35" s="911"/>
      <c r="DL35" s="911"/>
      <c r="DM35" s="911"/>
      <c r="DN35" s="911"/>
      <c r="DO35" s="911"/>
      <c r="DP35" s="911"/>
      <c r="DQ35" s="911"/>
      <c r="DR35" s="911"/>
      <c r="DS35" s="911"/>
      <c r="DT35" s="911"/>
      <c r="DU35" s="911"/>
      <c r="DV35" s="911"/>
      <c r="DW35" s="911"/>
      <c r="DX35" s="911"/>
      <c r="DY35" s="911"/>
      <c r="DZ35" s="911"/>
      <c r="EA35" s="911"/>
      <c r="EB35" s="911"/>
      <c r="EC35" s="911"/>
      <c r="ED35" s="911"/>
      <c r="EE35" s="911"/>
      <c r="EF35" s="911"/>
      <c r="EG35" s="911"/>
      <c r="EH35" s="911"/>
      <c r="EI35" s="911"/>
      <c r="EJ35" s="911"/>
      <c r="EK35" s="911"/>
      <c r="EL35" s="911"/>
      <c r="EM35" s="911"/>
      <c r="EN35" s="911"/>
      <c r="EO35" s="911"/>
      <c r="EP35" s="911"/>
      <c r="EQ35" s="911"/>
      <c r="ER35" s="911"/>
      <c r="ES35" s="911"/>
      <c r="ET35" s="911"/>
      <c r="EU35" s="911"/>
      <c r="EV35" s="911"/>
      <c r="EW35" s="911"/>
      <c r="EX35" s="911"/>
      <c r="EY35" s="911"/>
      <c r="EZ35" s="911"/>
      <c r="FA35" s="911"/>
      <c r="FB35" s="911"/>
      <c r="FC35" s="911"/>
      <c r="FD35" s="911"/>
      <c r="FE35" s="911"/>
      <c r="FF35" s="911"/>
      <c r="FG35" s="911"/>
    </row>
    <row r="36" spans="1:163">
      <c r="A36" s="911"/>
      <c r="B36" s="911"/>
      <c r="C36" s="911"/>
      <c r="D36" s="911"/>
      <c r="E36" s="911"/>
      <c r="F36" s="911"/>
      <c r="G36" s="911"/>
      <c r="H36" s="911"/>
      <c r="I36" s="911"/>
      <c r="J36" s="911"/>
      <c r="K36" s="911"/>
      <c r="L36" s="1137" t="s">
        <v>1367</v>
      </c>
      <c r="M36" s="1137"/>
      <c r="N36" s="1137"/>
      <c r="O36" s="1137"/>
      <c r="P36" s="1137"/>
      <c r="Q36" s="1137"/>
      <c r="R36" s="1137"/>
      <c r="S36" s="1137"/>
      <c r="T36" s="1137"/>
      <c r="U36" s="1137"/>
      <c r="V36" s="1137"/>
      <c r="W36" s="1137"/>
      <c r="X36" s="1137"/>
      <c r="Y36" s="1137"/>
      <c r="Z36" s="1137"/>
      <c r="AA36" s="1137"/>
      <c r="AB36" s="1137"/>
      <c r="AC36" s="1137"/>
      <c r="AD36" s="1137"/>
      <c r="AE36" s="1137"/>
      <c r="AF36" s="1137"/>
      <c r="AG36" s="1137"/>
      <c r="AH36" s="1137"/>
      <c r="AI36" s="1137"/>
      <c r="AJ36" s="1137"/>
      <c r="AK36" s="1137"/>
      <c r="AL36" s="1137"/>
      <c r="AM36" s="1137"/>
      <c r="AN36" s="1137"/>
      <c r="AO36" s="1137"/>
      <c r="AP36" s="1137"/>
      <c r="AQ36" s="1137"/>
      <c r="AR36" s="911"/>
      <c r="AS36" s="911"/>
      <c r="AT36" s="911"/>
      <c r="AU36" s="911"/>
      <c r="AV36" s="911"/>
      <c r="AW36" s="911"/>
      <c r="AX36" s="911"/>
      <c r="AY36" s="911"/>
      <c r="AZ36" s="911"/>
      <c r="BA36" s="911"/>
      <c r="BB36" s="911"/>
      <c r="BC36" s="911"/>
      <c r="BD36" s="911"/>
      <c r="BE36" s="911"/>
      <c r="BF36" s="911"/>
      <c r="BG36" s="911"/>
      <c r="BH36" s="911"/>
      <c r="BI36" s="911"/>
      <c r="BJ36" s="911"/>
      <c r="BK36" s="911"/>
      <c r="BL36" s="911"/>
      <c r="BM36" s="911"/>
      <c r="BN36" s="911"/>
      <c r="BO36" s="911"/>
      <c r="BP36" s="911"/>
      <c r="BQ36" s="911"/>
      <c r="BR36" s="911"/>
      <c r="BS36" s="911"/>
      <c r="BT36" s="911"/>
      <c r="BU36" s="911"/>
      <c r="BV36" s="911"/>
      <c r="BW36" s="911"/>
      <c r="BX36" s="911"/>
      <c r="BY36" s="911"/>
      <c r="BZ36" s="911"/>
      <c r="CA36" s="911"/>
      <c r="CB36" s="911"/>
      <c r="CC36" s="911"/>
      <c r="CD36" s="911"/>
      <c r="CE36" s="911"/>
      <c r="CF36" s="911"/>
      <c r="CG36" s="911"/>
      <c r="CH36" s="911"/>
      <c r="CI36" s="911"/>
      <c r="CJ36" s="911"/>
      <c r="CK36" s="911"/>
      <c r="CL36" s="911"/>
      <c r="CM36" s="911"/>
      <c r="CN36" s="911"/>
      <c r="CO36" s="911"/>
      <c r="CP36" s="911"/>
      <c r="CQ36" s="911"/>
      <c r="CR36" s="911"/>
      <c r="CS36" s="911"/>
      <c r="CT36" s="911"/>
      <c r="CU36" s="911"/>
      <c r="CV36" s="911"/>
      <c r="CW36" s="911"/>
      <c r="CX36" s="911"/>
      <c r="CY36" s="911"/>
      <c r="CZ36" s="911"/>
      <c r="DA36" s="911"/>
      <c r="DB36" s="911"/>
      <c r="DC36" s="911"/>
      <c r="DD36" s="911"/>
      <c r="DE36" s="911"/>
      <c r="DF36" s="911"/>
      <c r="DG36" s="911"/>
      <c r="DH36" s="911"/>
      <c r="DI36" s="911"/>
      <c r="DJ36" s="911"/>
      <c r="DK36" s="911"/>
      <c r="DL36" s="911"/>
      <c r="DM36" s="911"/>
      <c r="DN36" s="911"/>
      <c r="DO36" s="911"/>
      <c r="DP36" s="911"/>
      <c r="DQ36" s="911"/>
      <c r="DR36" s="911"/>
      <c r="DS36" s="911"/>
      <c r="DT36" s="911"/>
      <c r="DU36" s="911"/>
      <c r="DV36" s="911"/>
      <c r="DW36" s="911"/>
      <c r="DX36" s="911"/>
      <c r="DY36" s="911"/>
      <c r="DZ36" s="911"/>
      <c r="EA36" s="911"/>
      <c r="EB36" s="911"/>
      <c r="EC36" s="911"/>
      <c r="ED36" s="911"/>
      <c r="EE36" s="911"/>
      <c r="EF36" s="911"/>
      <c r="EG36" s="911"/>
      <c r="EH36" s="911"/>
      <c r="EI36" s="911"/>
      <c r="EJ36" s="911"/>
      <c r="EK36" s="911"/>
      <c r="EL36" s="911"/>
      <c r="EM36" s="911"/>
      <c r="EN36" s="911"/>
      <c r="EO36" s="911"/>
      <c r="EP36" s="911"/>
      <c r="EQ36" s="911"/>
      <c r="ER36" s="911"/>
      <c r="ES36" s="911"/>
      <c r="ET36" s="911"/>
      <c r="EU36" s="911"/>
      <c r="EV36" s="911"/>
      <c r="EW36" s="911"/>
      <c r="EX36" s="911"/>
      <c r="EY36" s="911"/>
      <c r="EZ36" s="911"/>
      <c r="FA36" s="911"/>
      <c r="FB36" s="911"/>
      <c r="FC36" s="911"/>
      <c r="FD36" s="911"/>
      <c r="FE36" s="911"/>
      <c r="FF36" s="911"/>
      <c r="FG36" s="911"/>
    </row>
    <row r="37" spans="1:163" ht="171" customHeight="1">
      <c r="A37" s="911"/>
      <c r="B37" s="911"/>
      <c r="C37" s="911"/>
      <c r="D37" s="911"/>
      <c r="E37" s="911"/>
      <c r="F37" s="911"/>
      <c r="G37" s="911"/>
      <c r="H37" s="911"/>
      <c r="I37" s="911"/>
      <c r="J37" s="911"/>
      <c r="K37" s="662"/>
      <c r="L37" s="1174" t="s">
        <v>2993</v>
      </c>
      <c r="M37" s="1175"/>
      <c r="N37" s="1175"/>
      <c r="O37" s="1175"/>
      <c r="P37" s="1175"/>
      <c r="Q37" s="1175"/>
      <c r="R37" s="1175"/>
      <c r="S37" s="1175"/>
      <c r="T37" s="1175"/>
      <c r="U37" s="1175"/>
      <c r="V37" s="1175"/>
      <c r="W37" s="1175"/>
      <c r="X37" s="1175"/>
      <c r="Y37" s="1175"/>
      <c r="Z37" s="1175"/>
      <c r="AA37" s="1175"/>
      <c r="AB37" s="1175"/>
      <c r="AC37" s="1175"/>
      <c r="AD37" s="1175"/>
      <c r="AE37" s="1175"/>
      <c r="AF37" s="1175"/>
      <c r="AG37" s="1175"/>
      <c r="AH37" s="1175"/>
      <c r="AI37" s="1175"/>
      <c r="AJ37" s="1175"/>
      <c r="AK37" s="1175"/>
      <c r="AL37" s="1175"/>
      <c r="AM37" s="1175"/>
      <c r="AN37" s="1175"/>
      <c r="AO37" s="1175"/>
      <c r="AP37" s="1175"/>
      <c r="AQ37" s="1175"/>
      <c r="AR37" s="911"/>
      <c r="AS37" s="911"/>
      <c r="AT37" s="911"/>
      <c r="AU37" s="911"/>
      <c r="AV37" s="911"/>
      <c r="AW37" s="911"/>
      <c r="AX37" s="911"/>
      <c r="AY37" s="911"/>
      <c r="AZ37" s="911"/>
      <c r="BA37" s="911"/>
      <c r="BB37" s="911"/>
      <c r="BC37" s="911"/>
      <c r="BD37" s="911"/>
      <c r="BE37" s="911"/>
      <c r="BF37" s="911"/>
      <c r="BG37" s="911"/>
      <c r="BH37" s="911"/>
      <c r="BI37" s="911"/>
      <c r="BJ37" s="911"/>
      <c r="BK37" s="911"/>
      <c r="BL37" s="911"/>
      <c r="BM37" s="911"/>
      <c r="BN37" s="911"/>
      <c r="BO37" s="911"/>
      <c r="BP37" s="911"/>
      <c r="BQ37" s="911"/>
      <c r="BR37" s="911"/>
      <c r="BS37" s="911"/>
      <c r="BT37" s="911"/>
      <c r="BU37" s="911"/>
      <c r="BV37" s="911"/>
      <c r="BW37" s="911"/>
      <c r="BX37" s="911"/>
      <c r="BY37" s="911"/>
      <c r="BZ37" s="911"/>
      <c r="CA37" s="911"/>
      <c r="CB37" s="911"/>
      <c r="CC37" s="911"/>
      <c r="CD37" s="911"/>
      <c r="CE37" s="911"/>
      <c r="CF37" s="911"/>
      <c r="CG37" s="911"/>
      <c r="CH37" s="911"/>
      <c r="CI37" s="911"/>
      <c r="CJ37" s="911"/>
      <c r="CK37" s="911"/>
      <c r="CL37" s="911"/>
      <c r="CM37" s="911"/>
      <c r="CN37" s="911"/>
      <c r="CO37" s="911"/>
      <c r="CP37" s="911"/>
      <c r="CQ37" s="911"/>
      <c r="CR37" s="911"/>
      <c r="CS37" s="911"/>
      <c r="CT37" s="911"/>
      <c r="CU37" s="911"/>
      <c r="CV37" s="911"/>
      <c r="CW37" s="911"/>
      <c r="CX37" s="911"/>
      <c r="CY37" s="911"/>
      <c r="CZ37" s="911"/>
      <c r="DA37" s="911"/>
      <c r="DB37" s="911"/>
      <c r="DC37" s="911"/>
      <c r="DD37" s="911"/>
      <c r="DE37" s="911"/>
      <c r="DF37" s="911"/>
      <c r="DG37" s="911"/>
      <c r="DH37" s="911"/>
      <c r="DI37" s="911"/>
      <c r="DJ37" s="911"/>
      <c r="DK37" s="911"/>
      <c r="DL37" s="911"/>
      <c r="DM37" s="911"/>
      <c r="DN37" s="911"/>
      <c r="DO37" s="911"/>
      <c r="DP37" s="911"/>
      <c r="DQ37" s="911"/>
      <c r="DR37" s="911"/>
      <c r="DS37" s="911"/>
      <c r="DT37" s="911"/>
      <c r="DU37" s="911"/>
      <c r="DV37" s="911"/>
      <c r="DW37" s="911"/>
      <c r="DX37" s="911"/>
      <c r="DY37" s="911"/>
      <c r="DZ37" s="911"/>
      <c r="EA37" s="911"/>
      <c r="EB37" s="911"/>
      <c r="EC37" s="911"/>
      <c r="ED37" s="911"/>
      <c r="EE37" s="911"/>
      <c r="EF37" s="911"/>
      <c r="EG37" s="911"/>
      <c r="EH37" s="911"/>
      <c r="EI37" s="911"/>
      <c r="EJ37" s="911"/>
      <c r="EK37" s="911"/>
      <c r="EL37" s="911"/>
      <c r="EM37" s="911"/>
      <c r="EN37" s="911"/>
      <c r="EO37" s="911"/>
      <c r="EP37" s="911"/>
      <c r="EQ37" s="911"/>
      <c r="ER37" s="911"/>
      <c r="ES37" s="911"/>
      <c r="ET37" s="911"/>
      <c r="EU37" s="911"/>
      <c r="EV37" s="911"/>
      <c r="EW37" s="911"/>
      <c r="EX37" s="911"/>
      <c r="EY37" s="911"/>
      <c r="EZ37" s="911"/>
      <c r="FA37" s="911"/>
      <c r="FB37" s="911"/>
      <c r="FC37" s="911"/>
      <c r="FD37" s="911"/>
      <c r="FE37" s="911"/>
      <c r="FF37" s="911"/>
      <c r="FG37" s="911"/>
    </row>
    <row r="38" spans="1:163" s="600" customFormat="1" ht="96" customHeight="1">
      <c r="A38" s="911"/>
      <c r="B38" s="911"/>
      <c r="C38" s="911"/>
      <c r="D38" s="911"/>
      <c r="E38" s="911"/>
      <c r="F38" s="911"/>
      <c r="G38" s="911"/>
      <c r="H38" s="911"/>
      <c r="I38" s="911"/>
      <c r="J38" s="911"/>
      <c r="K38" s="662" t="s">
        <v>3055</v>
      </c>
      <c r="L38" s="1174" t="s">
        <v>2995</v>
      </c>
      <c r="M38" s="1175"/>
      <c r="N38" s="1175"/>
      <c r="O38" s="1175"/>
      <c r="P38" s="1175"/>
      <c r="Q38" s="1175"/>
      <c r="R38" s="1175"/>
      <c r="S38" s="1175"/>
      <c r="T38" s="1175"/>
      <c r="U38" s="1175"/>
      <c r="V38" s="1175"/>
      <c r="W38" s="1175"/>
      <c r="X38" s="1175"/>
      <c r="Y38" s="1175"/>
      <c r="Z38" s="1175"/>
      <c r="AA38" s="1175"/>
      <c r="AB38" s="1175"/>
      <c r="AC38" s="1175"/>
      <c r="AD38" s="1175"/>
      <c r="AE38" s="1175"/>
      <c r="AF38" s="1175"/>
      <c r="AG38" s="1175"/>
      <c r="AH38" s="1175"/>
      <c r="AI38" s="1175"/>
      <c r="AJ38" s="1175"/>
      <c r="AK38" s="1175"/>
      <c r="AL38" s="1175"/>
      <c r="AM38" s="1175"/>
      <c r="AN38" s="1175"/>
      <c r="AO38" s="1175"/>
      <c r="AP38" s="1175"/>
      <c r="AQ38" s="1175"/>
      <c r="AR38" s="911"/>
      <c r="AS38" s="911"/>
      <c r="AT38" s="911"/>
      <c r="AU38" s="911"/>
      <c r="AV38" s="911"/>
      <c r="AW38" s="911"/>
      <c r="AX38" s="911"/>
      <c r="AY38" s="911"/>
      <c r="AZ38" s="911"/>
      <c r="BA38" s="911"/>
      <c r="BB38" s="911"/>
      <c r="BC38" s="911"/>
      <c r="BD38" s="911"/>
      <c r="BE38" s="911"/>
      <c r="BF38" s="911"/>
      <c r="BG38" s="911"/>
      <c r="BH38" s="911"/>
      <c r="BI38" s="911"/>
      <c r="BJ38" s="911"/>
      <c r="BK38" s="911"/>
      <c r="BL38" s="911"/>
      <c r="BM38" s="911"/>
      <c r="BN38" s="911"/>
      <c r="BO38" s="911"/>
      <c r="BP38" s="911"/>
      <c r="BQ38" s="911"/>
      <c r="BR38" s="911"/>
      <c r="BS38" s="911"/>
      <c r="BT38" s="911"/>
      <c r="BU38" s="911"/>
      <c r="BV38" s="911"/>
      <c r="BW38" s="911"/>
      <c r="BX38" s="911"/>
      <c r="BY38" s="911"/>
      <c r="BZ38" s="911"/>
      <c r="CA38" s="911"/>
      <c r="CB38" s="911"/>
      <c r="CC38" s="911"/>
      <c r="CD38" s="911"/>
      <c r="CE38" s="911"/>
      <c r="CF38" s="911"/>
      <c r="CG38" s="911"/>
      <c r="CH38" s="911"/>
      <c r="CI38" s="911"/>
      <c r="CJ38" s="911"/>
      <c r="CK38" s="911"/>
      <c r="CL38" s="911"/>
      <c r="CM38" s="911"/>
      <c r="CN38" s="911"/>
      <c r="CO38" s="911"/>
      <c r="CP38" s="911"/>
      <c r="CQ38" s="911"/>
      <c r="CR38" s="911"/>
      <c r="CS38" s="911"/>
      <c r="CT38" s="911"/>
      <c r="CU38" s="911"/>
      <c r="CV38" s="911"/>
      <c r="CW38" s="911"/>
      <c r="CX38" s="911"/>
      <c r="CY38" s="911"/>
      <c r="CZ38" s="911"/>
      <c r="DA38" s="911"/>
      <c r="DB38" s="911"/>
      <c r="DC38" s="911"/>
      <c r="DD38" s="911"/>
      <c r="DE38" s="911"/>
      <c r="DF38" s="911"/>
      <c r="DG38" s="911"/>
      <c r="DH38" s="911"/>
      <c r="DI38" s="911"/>
      <c r="DJ38" s="911"/>
      <c r="DK38" s="911"/>
      <c r="DL38" s="911"/>
      <c r="DM38" s="911"/>
      <c r="DN38" s="911"/>
      <c r="DO38" s="911"/>
      <c r="DP38" s="911"/>
      <c r="DQ38" s="911"/>
      <c r="DR38" s="911"/>
      <c r="DS38" s="911"/>
      <c r="DT38" s="911"/>
      <c r="DU38" s="911"/>
      <c r="DV38" s="911"/>
      <c r="DW38" s="911"/>
      <c r="DX38" s="911"/>
      <c r="DY38" s="911"/>
      <c r="DZ38" s="911"/>
      <c r="EA38" s="911"/>
      <c r="EB38" s="911"/>
      <c r="EC38" s="911"/>
      <c r="ED38" s="911"/>
      <c r="EE38" s="911"/>
      <c r="EF38" s="911"/>
      <c r="EG38" s="911"/>
      <c r="EH38" s="911"/>
      <c r="EI38" s="911"/>
      <c r="EJ38" s="911"/>
      <c r="EK38" s="911"/>
      <c r="EL38" s="911"/>
      <c r="EM38" s="911"/>
      <c r="EN38" s="911"/>
      <c r="EO38" s="911"/>
      <c r="EP38" s="911"/>
      <c r="EQ38" s="911"/>
      <c r="ER38" s="911"/>
      <c r="ES38" s="911"/>
      <c r="ET38" s="911"/>
      <c r="EU38" s="911"/>
      <c r="EV38" s="911"/>
      <c r="EW38" s="911"/>
      <c r="EX38" s="911"/>
      <c r="EY38" s="911"/>
      <c r="EZ38" s="911"/>
      <c r="FA38" s="911"/>
      <c r="FB38" s="911"/>
      <c r="FC38" s="911"/>
      <c r="FD38" s="911"/>
      <c r="FE38" s="911"/>
      <c r="FF38" s="911"/>
      <c r="FG38" s="911"/>
    </row>
    <row r="39" spans="1:163" s="600" customFormat="1" ht="70.2" customHeight="1">
      <c r="A39" s="911"/>
      <c r="B39" s="911"/>
      <c r="C39" s="911"/>
      <c r="D39" s="911"/>
      <c r="E39" s="911"/>
      <c r="F39" s="911"/>
      <c r="G39" s="911"/>
      <c r="H39" s="911"/>
      <c r="I39" s="911"/>
      <c r="J39" s="911"/>
      <c r="K39" s="662" t="s">
        <v>3055</v>
      </c>
      <c r="L39" s="1174" t="s">
        <v>2996</v>
      </c>
      <c r="M39" s="1175"/>
      <c r="N39" s="1175"/>
      <c r="O39" s="1175"/>
      <c r="P39" s="1175"/>
      <c r="Q39" s="1175"/>
      <c r="R39" s="1175"/>
      <c r="S39" s="1175"/>
      <c r="T39" s="1175"/>
      <c r="U39" s="1175"/>
      <c r="V39" s="1175"/>
      <c r="W39" s="1175"/>
      <c r="X39" s="1175"/>
      <c r="Y39" s="1175"/>
      <c r="Z39" s="1175"/>
      <c r="AA39" s="1175"/>
      <c r="AB39" s="1175"/>
      <c r="AC39" s="1175"/>
      <c r="AD39" s="1175"/>
      <c r="AE39" s="1175"/>
      <c r="AF39" s="1175"/>
      <c r="AG39" s="1175"/>
      <c r="AH39" s="1175"/>
      <c r="AI39" s="1175"/>
      <c r="AJ39" s="1175"/>
      <c r="AK39" s="1175"/>
      <c r="AL39" s="1175"/>
      <c r="AM39" s="1175"/>
      <c r="AN39" s="1175"/>
      <c r="AO39" s="1175"/>
      <c r="AP39" s="1175"/>
      <c r="AQ39" s="1175"/>
      <c r="AR39" s="911"/>
      <c r="AS39" s="911"/>
      <c r="AT39" s="911"/>
      <c r="AU39" s="911"/>
      <c r="AV39" s="911"/>
      <c r="AW39" s="911"/>
      <c r="AX39" s="911"/>
      <c r="AY39" s="911"/>
      <c r="AZ39" s="911"/>
      <c r="BA39" s="911"/>
      <c r="BB39" s="911"/>
      <c r="BC39" s="911"/>
      <c r="BD39" s="911"/>
      <c r="BE39" s="911"/>
      <c r="BF39" s="911"/>
      <c r="BG39" s="911"/>
      <c r="BH39" s="911"/>
      <c r="BI39" s="911"/>
      <c r="BJ39" s="911"/>
      <c r="BK39" s="911"/>
      <c r="BL39" s="911"/>
      <c r="BM39" s="911"/>
      <c r="BN39" s="911"/>
      <c r="BO39" s="911"/>
      <c r="BP39" s="911"/>
      <c r="BQ39" s="911"/>
      <c r="BR39" s="911"/>
      <c r="BS39" s="911"/>
      <c r="BT39" s="911"/>
      <c r="BU39" s="911"/>
      <c r="BV39" s="911"/>
      <c r="BW39" s="911"/>
      <c r="BX39" s="911"/>
      <c r="BY39" s="911"/>
      <c r="BZ39" s="911"/>
      <c r="CA39" s="911"/>
      <c r="CB39" s="911"/>
      <c r="CC39" s="911"/>
      <c r="CD39" s="911"/>
      <c r="CE39" s="911"/>
      <c r="CF39" s="911"/>
      <c r="CG39" s="911"/>
      <c r="CH39" s="911"/>
      <c r="CI39" s="911"/>
      <c r="CJ39" s="911"/>
      <c r="CK39" s="911"/>
      <c r="CL39" s="911"/>
      <c r="CM39" s="911"/>
      <c r="CN39" s="911"/>
      <c r="CO39" s="911"/>
      <c r="CP39" s="911"/>
      <c r="CQ39" s="911"/>
      <c r="CR39" s="911"/>
      <c r="CS39" s="911"/>
      <c r="CT39" s="911"/>
      <c r="CU39" s="911"/>
      <c r="CV39" s="911"/>
      <c r="CW39" s="911"/>
      <c r="CX39" s="911"/>
      <c r="CY39" s="911"/>
      <c r="CZ39" s="911"/>
      <c r="DA39" s="911"/>
      <c r="DB39" s="911"/>
      <c r="DC39" s="911"/>
      <c r="DD39" s="911"/>
      <c r="DE39" s="911"/>
      <c r="DF39" s="911"/>
      <c r="DG39" s="911"/>
      <c r="DH39" s="911"/>
      <c r="DI39" s="911"/>
      <c r="DJ39" s="911"/>
      <c r="DK39" s="911"/>
      <c r="DL39" s="911"/>
      <c r="DM39" s="911"/>
      <c r="DN39" s="911"/>
      <c r="DO39" s="911"/>
      <c r="DP39" s="911"/>
      <c r="DQ39" s="911"/>
      <c r="DR39" s="911"/>
      <c r="DS39" s="911"/>
      <c r="DT39" s="911"/>
      <c r="DU39" s="911"/>
      <c r="DV39" s="911"/>
      <c r="DW39" s="911"/>
      <c r="DX39" s="911"/>
      <c r="DY39" s="911"/>
      <c r="DZ39" s="911"/>
      <c r="EA39" s="911"/>
      <c r="EB39" s="911"/>
      <c r="EC39" s="911"/>
      <c r="ED39" s="911"/>
      <c r="EE39" s="911"/>
      <c r="EF39" s="911"/>
      <c r="EG39" s="911"/>
      <c r="EH39" s="911"/>
      <c r="EI39" s="911"/>
      <c r="EJ39" s="911"/>
      <c r="EK39" s="911"/>
      <c r="EL39" s="911"/>
      <c r="EM39" s="911"/>
      <c r="EN39" s="911"/>
      <c r="EO39" s="911"/>
      <c r="EP39" s="911"/>
      <c r="EQ39" s="911"/>
      <c r="ER39" s="911"/>
      <c r="ES39" s="911"/>
      <c r="ET39" s="911"/>
      <c r="EU39" s="911"/>
      <c r="EV39" s="911"/>
      <c r="EW39" s="911"/>
      <c r="EX39" s="911"/>
      <c r="EY39" s="911"/>
      <c r="EZ39" s="911"/>
      <c r="FA39" s="911"/>
      <c r="FB39" s="911"/>
      <c r="FC39" s="911"/>
      <c r="FD39" s="911"/>
      <c r="FE39" s="911"/>
      <c r="FF39" s="911"/>
      <c r="FG39" s="911"/>
    </row>
    <row r="40" spans="1:163" s="600" customFormat="1" ht="141.6" customHeight="1">
      <c r="A40" s="911"/>
      <c r="B40" s="911"/>
      <c r="C40" s="911"/>
      <c r="D40" s="911"/>
      <c r="E40" s="911"/>
      <c r="F40" s="911"/>
      <c r="G40" s="911"/>
      <c r="H40" s="911"/>
      <c r="I40" s="911"/>
      <c r="J40" s="911"/>
      <c r="K40" s="662" t="s">
        <v>3055</v>
      </c>
      <c r="L40" s="1174" t="s">
        <v>2994</v>
      </c>
      <c r="M40" s="1175"/>
      <c r="N40" s="1175"/>
      <c r="O40" s="1175"/>
      <c r="P40" s="1175"/>
      <c r="Q40" s="1175"/>
      <c r="R40" s="1175"/>
      <c r="S40" s="1175"/>
      <c r="T40" s="1175"/>
      <c r="U40" s="1175"/>
      <c r="V40" s="1175"/>
      <c r="W40" s="1175"/>
      <c r="X40" s="1175"/>
      <c r="Y40" s="1175"/>
      <c r="Z40" s="1175"/>
      <c r="AA40" s="1175"/>
      <c r="AB40" s="1175"/>
      <c r="AC40" s="1175"/>
      <c r="AD40" s="1175"/>
      <c r="AE40" s="1175"/>
      <c r="AF40" s="1175"/>
      <c r="AG40" s="1175"/>
      <c r="AH40" s="1175"/>
      <c r="AI40" s="1175"/>
      <c r="AJ40" s="1175"/>
      <c r="AK40" s="1175"/>
      <c r="AL40" s="1175"/>
      <c r="AM40" s="1175"/>
      <c r="AN40" s="1175"/>
      <c r="AO40" s="1175"/>
      <c r="AP40" s="1175"/>
      <c r="AQ40" s="1175"/>
      <c r="AR40" s="911"/>
      <c r="AS40" s="911"/>
      <c r="AT40" s="911"/>
      <c r="AU40" s="911"/>
      <c r="AV40" s="911"/>
      <c r="AW40" s="911"/>
      <c r="AX40" s="911"/>
      <c r="AY40" s="911"/>
      <c r="AZ40" s="911"/>
      <c r="BA40" s="911"/>
      <c r="BB40" s="911"/>
      <c r="BC40" s="911"/>
      <c r="BD40" s="911"/>
      <c r="BE40" s="911"/>
      <c r="BF40" s="911"/>
      <c r="BG40" s="911"/>
      <c r="BH40" s="911"/>
      <c r="BI40" s="911"/>
      <c r="BJ40" s="911"/>
      <c r="BK40" s="911"/>
      <c r="BL40" s="911"/>
      <c r="BM40" s="911"/>
      <c r="BN40" s="911"/>
      <c r="BO40" s="911"/>
      <c r="BP40" s="911"/>
      <c r="BQ40" s="911"/>
      <c r="BR40" s="911"/>
      <c r="BS40" s="911"/>
      <c r="BT40" s="911"/>
      <c r="BU40" s="911"/>
      <c r="BV40" s="911"/>
      <c r="BW40" s="911"/>
      <c r="BX40" s="911"/>
      <c r="BY40" s="911"/>
      <c r="BZ40" s="911"/>
      <c r="CA40" s="911"/>
      <c r="CB40" s="911"/>
      <c r="CC40" s="911"/>
      <c r="CD40" s="911"/>
      <c r="CE40" s="911"/>
      <c r="CF40" s="911"/>
      <c r="CG40" s="911"/>
      <c r="CH40" s="911"/>
      <c r="CI40" s="911"/>
      <c r="CJ40" s="911"/>
      <c r="CK40" s="911"/>
      <c r="CL40" s="911"/>
      <c r="CM40" s="911"/>
      <c r="CN40" s="911"/>
      <c r="CO40" s="911"/>
      <c r="CP40" s="911"/>
      <c r="CQ40" s="911"/>
      <c r="CR40" s="911"/>
      <c r="CS40" s="911"/>
      <c r="CT40" s="911"/>
      <c r="CU40" s="911"/>
      <c r="CV40" s="911"/>
      <c r="CW40" s="911"/>
      <c r="CX40" s="911"/>
      <c r="CY40" s="911"/>
      <c r="CZ40" s="911"/>
      <c r="DA40" s="911"/>
      <c r="DB40" s="911"/>
      <c r="DC40" s="911"/>
      <c r="DD40" s="911"/>
      <c r="DE40" s="911"/>
      <c r="DF40" s="911"/>
      <c r="DG40" s="911"/>
      <c r="DH40" s="911"/>
      <c r="DI40" s="911"/>
      <c r="DJ40" s="911"/>
      <c r="DK40" s="911"/>
      <c r="DL40" s="911"/>
      <c r="DM40" s="911"/>
      <c r="DN40" s="911"/>
      <c r="DO40" s="911"/>
      <c r="DP40" s="911"/>
      <c r="DQ40" s="911"/>
      <c r="DR40" s="911"/>
      <c r="DS40" s="911"/>
      <c r="DT40" s="911"/>
      <c r="DU40" s="911"/>
      <c r="DV40" s="911"/>
      <c r="DW40" s="911"/>
      <c r="DX40" s="911"/>
      <c r="DY40" s="911"/>
      <c r="DZ40" s="911"/>
      <c r="EA40" s="911"/>
      <c r="EB40" s="911"/>
      <c r="EC40" s="911"/>
      <c r="ED40" s="911"/>
      <c r="EE40" s="911"/>
      <c r="EF40" s="911"/>
      <c r="EG40" s="911"/>
      <c r="EH40" s="911"/>
      <c r="EI40" s="911"/>
      <c r="EJ40" s="911"/>
      <c r="EK40" s="911"/>
      <c r="EL40" s="911"/>
      <c r="EM40" s="911"/>
      <c r="EN40" s="911"/>
      <c r="EO40" s="911"/>
      <c r="EP40" s="911"/>
      <c r="EQ40" s="911"/>
      <c r="ER40" s="911"/>
      <c r="ES40" s="911"/>
      <c r="ET40" s="911"/>
      <c r="EU40" s="911"/>
      <c r="EV40" s="911"/>
      <c r="EW40" s="911"/>
      <c r="EX40" s="911"/>
      <c r="EY40" s="911"/>
      <c r="EZ40" s="911"/>
      <c r="FA40" s="911"/>
      <c r="FB40" s="911"/>
      <c r="FC40" s="911"/>
      <c r="FD40" s="911"/>
      <c r="FE40" s="911"/>
      <c r="FF40" s="911"/>
      <c r="FG40" s="911"/>
    </row>
  </sheetData>
  <sheetProtection formatColumns="0" formatRows="0" autoFilter="0"/>
  <mergeCells count="117">
    <mergeCell ref="L15:L16"/>
    <mergeCell ref="M15:M16"/>
    <mergeCell ref="N15:P15"/>
    <mergeCell ref="AO15:AQ15"/>
    <mergeCell ref="Q15:S15"/>
    <mergeCell ref="AI15:AK15"/>
    <mergeCell ref="AL15:AN15"/>
    <mergeCell ref="W15:Y15"/>
    <mergeCell ref="Z15:AB15"/>
    <mergeCell ref="AC15:AE15"/>
    <mergeCell ref="AF15:AH15"/>
    <mergeCell ref="T15:V15"/>
    <mergeCell ref="L38:AQ38"/>
    <mergeCell ref="L39:AQ39"/>
    <mergeCell ref="L40:AQ40"/>
    <mergeCell ref="L21:M21"/>
    <mergeCell ref="L22:M22"/>
    <mergeCell ref="L23:M23"/>
    <mergeCell ref="L24:M24"/>
    <mergeCell ref="L28:M28"/>
    <mergeCell ref="L29:M29"/>
    <mergeCell ref="L30:M30"/>
    <mergeCell ref="L31:M31"/>
    <mergeCell ref="L37:AQ37"/>
    <mergeCell ref="L19:L20"/>
    <mergeCell ref="M19:M20"/>
    <mergeCell ref="AL19:AN19"/>
    <mergeCell ref="N19:P19"/>
    <mergeCell ref="Q19:S19"/>
    <mergeCell ref="AO19:AQ19"/>
    <mergeCell ref="L36:AQ36"/>
    <mergeCell ref="T19:V19"/>
    <mergeCell ref="W19:Y19"/>
    <mergeCell ref="AC19:AE19"/>
    <mergeCell ref="AF19:AH19"/>
    <mergeCell ref="AI19:AK19"/>
    <mergeCell ref="Z19:AB19"/>
    <mergeCell ref="BG15:BI15"/>
    <mergeCell ref="BJ15:BL15"/>
    <mergeCell ref="BM15:BO15"/>
    <mergeCell ref="BP15:BR15"/>
    <mergeCell ref="BS15:BU15"/>
    <mergeCell ref="AR15:AT15"/>
    <mergeCell ref="AU15:AW15"/>
    <mergeCell ref="AX15:AZ15"/>
    <mergeCell ref="BA15:BC15"/>
    <mergeCell ref="BD15:BF15"/>
    <mergeCell ref="CK15:CM15"/>
    <mergeCell ref="CN15:CP15"/>
    <mergeCell ref="CQ15:CS15"/>
    <mergeCell ref="CT15:CV15"/>
    <mergeCell ref="CW15:CY15"/>
    <mergeCell ref="BV15:BX15"/>
    <mergeCell ref="BY15:CA15"/>
    <mergeCell ref="CB15:CD15"/>
    <mergeCell ref="CE15:CG15"/>
    <mergeCell ref="CH15:CJ15"/>
    <mergeCell ref="DO15:DQ15"/>
    <mergeCell ref="DR15:DT15"/>
    <mergeCell ref="DU15:DW15"/>
    <mergeCell ref="DX15:DZ15"/>
    <mergeCell ref="EA15:EC15"/>
    <mergeCell ref="CZ15:DB15"/>
    <mergeCell ref="DC15:DE15"/>
    <mergeCell ref="DF15:DH15"/>
    <mergeCell ref="DI15:DK15"/>
    <mergeCell ref="DL15:DN15"/>
    <mergeCell ref="ES15:EU15"/>
    <mergeCell ref="EV15:EX15"/>
    <mergeCell ref="EY15:FA15"/>
    <mergeCell ref="FB15:FD15"/>
    <mergeCell ref="FE15:FG15"/>
    <mergeCell ref="ED15:EF15"/>
    <mergeCell ref="EG15:EI15"/>
    <mergeCell ref="EJ15:EL15"/>
    <mergeCell ref="EM15:EO15"/>
    <mergeCell ref="EP15:ER15"/>
    <mergeCell ref="BG19:BI19"/>
    <mergeCell ref="BJ19:BL19"/>
    <mergeCell ref="BM19:BO19"/>
    <mergeCell ref="BP19:BR19"/>
    <mergeCell ref="BS19:BU19"/>
    <mergeCell ref="AR19:AT19"/>
    <mergeCell ref="AU19:AW19"/>
    <mergeCell ref="AX19:AZ19"/>
    <mergeCell ref="BA19:BC19"/>
    <mergeCell ref="BD19:BF19"/>
    <mergeCell ref="CK19:CM19"/>
    <mergeCell ref="CN19:CP19"/>
    <mergeCell ref="CQ19:CS19"/>
    <mergeCell ref="CT19:CV19"/>
    <mergeCell ref="CW19:CY19"/>
    <mergeCell ref="BV19:BX19"/>
    <mergeCell ref="BY19:CA19"/>
    <mergeCell ref="CB19:CD19"/>
    <mergeCell ref="CE19:CG19"/>
    <mergeCell ref="CH19:CJ19"/>
    <mergeCell ref="DO19:DQ19"/>
    <mergeCell ref="DR19:DT19"/>
    <mergeCell ref="DU19:DW19"/>
    <mergeCell ref="DX19:DZ19"/>
    <mergeCell ref="EA19:EC19"/>
    <mergeCell ref="CZ19:DB19"/>
    <mergeCell ref="DC19:DE19"/>
    <mergeCell ref="DF19:DH19"/>
    <mergeCell ref="DI19:DK19"/>
    <mergeCell ref="DL19:DN19"/>
    <mergeCell ref="ES19:EU19"/>
    <mergeCell ref="EV19:EX19"/>
    <mergeCell ref="EY19:FA19"/>
    <mergeCell ref="FB19:FD19"/>
    <mergeCell ref="FE19:FG19"/>
    <mergeCell ref="ED19:EF19"/>
    <mergeCell ref="EG19:EI19"/>
    <mergeCell ref="EJ19:EL19"/>
    <mergeCell ref="EM19:EO19"/>
    <mergeCell ref="EP19:ER19"/>
  </mergeCells>
  <dataValidations count="1">
    <dataValidation type="decimal" allowBlank="1" showErrorMessage="1" errorTitle="Ошибка" error="Допускается ввод только неотрицательных чисел!" sqref="EY25:EZ26 FB25:FC26 AO25:AP26 AL25:AM26 AI25:AJ26 AF25:AG26 AC25:AD26 Z25:AA26 W25:X26 T25:U26 Q25:R26 N25:O26 FE25:FF26 AR25:AS26 AU25:AV26 AX25:AY26 BA25:BB26 BD25:BE26 BG25:BH26 BJ25:BK26 BM25:BN26 BP25:BQ26 BS25:BT26 BV25:BW26 BY25:BZ26 CB25:CC26 CE25:CF26 CH25:CI26 CK25:CL26 CN25:CO26 CQ25:CR26 CT25:CU26 CW25:CX26 CZ25:DA26 DC25:DD26 DF25:DG26 DI25:DJ26 DL25:DM26 DO25:DP26 DR25:DS26 DU25:DV26 DX25:DY26 EA25:EB26 ED25:EE26 EG25:EH26 EJ25:EK26 EM25:EN26 EP25:EQ26 ES25:ET26 EV25:EW26 EY32:EZ33 FB32:FC33 AO32:AP33 AL32:AM33 AI32:AJ33 AF32:AG33 AC32:AD33 Z32:AA33 W32:X33 T32:U33 Q32:R33 N32:O33 FE32:FF33 AR32:AS33 AU32:AV33 AX32:AY33 BA32:BB33 BD32:BE33 BG32:BH33 BJ32:BK33 BM32:BN33 BP32:BQ33 BS32:BT33 BV32:BW33 BY32:BZ33 CB32:CC33 CE32:CF33 CH32:CI33 CK32:CL33 CN32:CO33 CQ32:CR33 CT32:CU33 CW32:CX33 CZ32:DA33 DC32:DD33 DF32:DG33 DI32:DJ33 DL32:DM33 DO32:DP33 DR32:DS33 DU32:DV33 DX32:DY33 EA32:EB33 ED32:EE33 EG32:EH33 EJ32:EK33 EM32:EN33 EP32:EQ33 ES32:ET33 EV32:EW33">
      <formula1>0</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80" firstPageNumber="16" fitToWidth="0" orientation="portrait" useFirstPageNumber="1" r:id="rId1"/>
  <headerFooter>
    <oddFooter>&amp;C&amp;A
&amp;P из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ummaryRight="0"/>
  </sheetPr>
  <dimension ref="A1:AQ123"/>
  <sheetViews>
    <sheetView showGridLines="0" tabSelected="1" view="pageBreakPreview" zoomScale="70" zoomScaleNormal="100" zoomScaleSheetLayoutView="70" workbookViewId="0">
      <pane xSplit="12" ySplit="18" topLeftCell="M19" activePane="bottomRight" state="frozen"/>
      <selection activeCell="M11" sqref="M11"/>
      <selection pane="topRight" activeCell="M11" sqref="M11"/>
      <selection pane="bottomLeft" activeCell="M11" sqref="M11"/>
      <selection pane="bottomRight"/>
    </sheetView>
  </sheetViews>
  <sheetFormatPr defaultColWidth="9.125" defaultRowHeight="11.4"/>
  <cols>
    <col min="1" max="5" width="2.75" style="291" hidden="1" customWidth="1"/>
    <col min="6" max="6" width="5.25" style="291" hidden="1" customWidth="1"/>
    <col min="7" max="7" width="12" style="291" hidden="1" customWidth="1"/>
    <col min="8" max="10" width="2.75" style="291" hidden="1" customWidth="1"/>
    <col min="11" max="11" width="3.75" style="291" hidden="1" customWidth="1"/>
    <col min="12" max="12" width="15.375" style="290" customWidth="1"/>
    <col min="13" max="16" width="14.875" style="291" customWidth="1"/>
    <col min="17" max="17" width="14.875" style="509" customWidth="1"/>
    <col min="18" max="20" width="23.75" style="509" hidden="1" customWidth="1"/>
    <col min="21" max="21" width="25.75" style="291" hidden="1" customWidth="1"/>
    <col min="22" max="24" width="14.875" style="291" customWidth="1"/>
    <col min="25" max="16384" width="9.125" style="291"/>
  </cols>
  <sheetData>
    <row r="1" spans="1:43" hidden="1">
      <c r="A1" s="911"/>
      <c r="B1" s="911"/>
      <c r="C1" s="911"/>
      <c r="D1" s="911"/>
      <c r="E1" s="911"/>
      <c r="F1" s="911"/>
      <c r="G1" s="911"/>
      <c r="H1" s="911"/>
      <c r="I1" s="911"/>
      <c r="J1" s="911"/>
      <c r="K1" s="911"/>
      <c r="L1" s="988"/>
      <c r="M1" s="911" t="s">
        <v>1406</v>
      </c>
      <c r="N1" s="911" t="s">
        <v>1438</v>
      </c>
      <c r="O1" s="911" t="s">
        <v>1442</v>
      </c>
      <c r="P1" s="911" t="s">
        <v>1598</v>
      </c>
      <c r="Q1" s="911" t="s">
        <v>1619</v>
      </c>
      <c r="R1" s="911" t="s">
        <v>1620</v>
      </c>
      <c r="S1" s="911" t="s">
        <v>1621</v>
      </c>
      <c r="T1" s="911" t="s">
        <v>1622</v>
      </c>
      <c r="U1" s="911" t="s">
        <v>1623</v>
      </c>
      <c r="V1" s="911"/>
      <c r="W1" s="911"/>
      <c r="X1" s="911"/>
      <c r="Y1" s="911"/>
      <c r="Z1" s="911"/>
      <c r="AA1" s="911"/>
      <c r="AB1" s="911"/>
      <c r="AC1" s="911"/>
      <c r="AD1" s="911"/>
      <c r="AE1" s="911"/>
      <c r="AF1" s="911"/>
      <c r="AG1" s="911"/>
      <c r="AH1" s="911"/>
      <c r="AI1" s="911"/>
      <c r="AJ1" s="911"/>
      <c r="AK1" s="911"/>
      <c r="AL1" s="911"/>
      <c r="AM1" s="911"/>
      <c r="AN1" s="911"/>
      <c r="AO1" s="911"/>
      <c r="AP1" s="911"/>
      <c r="AQ1" s="911"/>
    </row>
    <row r="2" spans="1:43" hidden="1">
      <c r="A2" s="911"/>
      <c r="B2" s="911"/>
      <c r="C2" s="911"/>
      <c r="D2" s="911"/>
      <c r="E2" s="911"/>
      <c r="F2" s="911"/>
      <c r="G2" s="911"/>
      <c r="H2" s="911"/>
      <c r="I2" s="911"/>
      <c r="J2" s="911"/>
      <c r="K2" s="911"/>
      <c r="L2" s="988"/>
      <c r="M2" s="911"/>
      <c r="N2" s="911"/>
      <c r="O2" s="911"/>
      <c r="P2" s="911"/>
      <c r="Q2" s="911"/>
      <c r="R2" s="911"/>
      <c r="S2" s="911"/>
      <c r="T2" s="911"/>
      <c r="U2" s="911"/>
      <c r="V2" s="911"/>
      <c r="W2" s="911"/>
      <c r="X2" s="911"/>
      <c r="Y2" s="911"/>
      <c r="Z2" s="911"/>
      <c r="AA2" s="911"/>
      <c r="AB2" s="911"/>
      <c r="AC2" s="911"/>
      <c r="AD2" s="911"/>
      <c r="AE2" s="911"/>
      <c r="AF2" s="911"/>
      <c r="AG2" s="911"/>
      <c r="AH2" s="911"/>
      <c r="AI2" s="911"/>
      <c r="AJ2" s="911"/>
      <c r="AK2" s="911"/>
      <c r="AL2" s="911"/>
      <c r="AM2" s="911"/>
      <c r="AN2" s="911"/>
      <c r="AO2" s="911"/>
      <c r="AP2" s="911"/>
      <c r="AQ2" s="911"/>
    </row>
    <row r="3" spans="1:43" hidden="1">
      <c r="A3" s="911"/>
      <c r="B3" s="911"/>
      <c r="C3" s="911"/>
      <c r="D3" s="911"/>
      <c r="E3" s="911"/>
      <c r="F3" s="911"/>
      <c r="G3" s="911"/>
      <c r="H3" s="911"/>
      <c r="I3" s="911"/>
      <c r="J3" s="911"/>
      <c r="K3" s="911"/>
      <c r="L3" s="988"/>
      <c r="M3" s="911"/>
      <c r="N3" s="911"/>
      <c r="O3" s="911"/>
      <c r="P3" s="911"/>
      <c r="Q3" s="911"/>
      <c r="R3" s="911"/>
      <c r="S3" s="911"/>
      <c r="T3" s="911"/>
      <c r="U3" s="911"/>
      <c r="V3" s="911"/>
      <c r="W3" s="911"/>
      <c r="X3" s="911"/>
      <c r="Y3" s="911"/>
      <c r="Z3" s="911"/>
      <c r="AA3" s="911"/>
      <c r="AB3" s="911"/>
      <c r="AC3" s="911"/>
      <c r="AD3" s="911"/>
      <c r="AE3" s="911"/>
      <c r="AF3" s="911"/>
      <c r="AG3" s="911"/>
      <c r="AH3" s="911"/>
      <c r="AI3" s="911"/>
      <c r="AJ3" s="911"/>
      <c r="AK3" s="911"/>
      <c r="AL3" s="911"/>
      <c r="AM3" s="911"/>
      <c r="AN3" s="911"/>
      <c r="AO3" s="911"/>
      <c r="AP3" s="911"/>
      <c r="AQ3" s="911"/>
    </row>
    <row r="4" spans="1:43" hidden="1">
      <c r="A4" s="911"/>
      <c r="B4" s="911"/>
      <c r="C4" s="911"/>
      <c r="D4" s="911"/>
      <c r="E4" s="911"/>
      <c r="F4" s="911"/>
      <c r="G4" s="911"/>
      <c r="H4" s="911"/>
      <c r="I4" s="911"/>
      <c r="J4" s="911"/>
      <c r="K4" s="911"/>
      <c r="L4" s="988"/>
      <c r="M4" s="911"/>
      <c r="N4" s="911"/>
      <c r="O4" s="911"/>
      <c r="P4" s="911"/>
      <c r="Q4" s="911"/>
      <c r="R4" s="911"/>
      <c r="S4" s="911"/>
      <c r="T4" s="911"/>
      <c r="U4" s="911"/>
      <c r="V4" s="911"/>
      <c r="W4" s="911"/>
      <c r="X4" s="911"/>
      <c r="Y4" s="911"/>
      <c r="Z4" s="911"/>
      <c r="AA4" s="911"/>
      <c r="AB4" s="911"/>
      <c r="AC4" s="911"/>
      <c r="AD4" s="911"/>
      <c r="AE4" s="911"/>
      <c r="AF4" s="911"/>
      <c r="AG4" s="911"/>
      <c r="AH4" s="911"/>
      <c r="AI4" s="911"/>
      <c r="AJ4" s="911"/>
      <c r="AK4" s="911"/>
      <c r="AL4" s="911"/>
      <c r="AM4" s="911"/>
      <c r="AN4" s="911"/>
      <c r="AO4" s="911"/>
      <c r="AP4" s="911"/>
      <c r="AQ4" s="911"/>
    </row>
    <row r="5" spans="1:43" hidden="1">
      <c r="A5" s="911"/>
      <c r="B5" s="911"/>
      <c r="C5" s="911"/>
      <c r="D5" s="911"/>
      <c r="E5" s="911"/>
      <c r="F5" s="911"/>
      <c r="G5" s="911"/>
      <c r="H5" s="911"/>
      <c r="I5" s="911"/>
      <c r="J5" s="911"/>
      <c r="K5" s="911"/>
      <c r="L5" s="988"/>
      <c r="M5" s="911"/>
      <c r="N5" s="911"/>
      <c r="O5" s="911"/>
      <c r="P5" s="911"/>
      <c r="Q5" s="911"/>
      <c r="R5" s="911"/>
      <c r="S5" s="911"/>
      <c r="T5" s="911"/>
      <c r="U5" s="911"/>
      <c r="V5" s="911"/>
      <c r="W5" s="911"/>
      <c r="X5" s="911"/>
      <c r="Y5" s="911"/>
      <c r="Z5" s="911"/>
      <c r="AA5" s="911"/>
      <c r="AB5" s="911"/>
      <c r="AC5" s="911"/>
      <c r="AD5" s="911"/>
      <c r="AE5" s="911"/>
      <c r="AF5" s="911"/>
      <c r="AG5" s="911"/>
      <c r="AH5" s="911"/>
      <c r="AI5" s="911"/>
      <c r="AJ5" s="911"/>
      <c r="AK5" s="911"/>
      <c r="AL5" s="911"/>
      <c r="AM5" s="911"/>
      <c r="AN5" s="911"/>
      <c r="AO5" s="911"/>
      <c r="AP5" s="911"/>
      <c r="AQ5" s="911"/>
    </row>
    <row r="6" spans="1:43" hidden="1">
      <c r="A6" s="911"/>
      <c r="B6" s="911"/>
      <c r="C6" s="911"/>
      <c r="D6" s="911"/>
      <c r="E6" s="911"/>
      <c r="F6" s="911"/>
      <c r="G6" s="911"/>
      <c r="H6" s="911"/>
      <c r="I6" s="911"/>
      <c r="J6" s="911"/>
      <c r="K6" s="911"/>
      <c r="L6" s="988"/>
      <c r="M6" s="911"/>
      <c r="N6" s="911"/>
      <c r="O6" s="911"/>
      <c r="P6" s="911"/>
      <c r="Q6" s="911"/>
      <c r="R6" s="911"/>
      <c r="S6" s="911"/>
      <c r="T6" s="911"/>
      <c r="U6" s="911"/>
      <c r="V6" s="911"/>
      <c r="W6" s="911"/>
      <c r="X6" s="911"/>
      <c r="Y6" s="911"/>
      <c r="Z6" s="911"/>
      <c r="AA6" s="911"/>
      <c r="AB6" s="911"/>
      <c r="AC6" s="911"/>
      <c r="AD6" s="911"/>
      <c r="AE6" s="911"/>
      <c r="AF6" s="911"/>
      <c r="AG6" s="911"/>
      <c r="AH6" s="911"/>
      <c r="AI6" s="911"/>
      <c r="AJ6" s="911"/>
      <c r="AK6" s="911"/>
      <c r="AL6" s="911"/>
      <c r="AM6" s="911"/>
      <c r="AN6" s="911"/>
      <c r="AO6" s="911"/>
      <c r="AP6" s="911"/>
      <c r="AQ6" s="911"/>
    </row>
    <row r="7" spans="1:43" hidden="1">
      <c r="A7" s="911"/>
      <c r="B7" s="911"/>
      <c r="C7" s="911"/>
      <c r="D7" s="911"/>
      <c r="E7" s="911"/>
      <c r="F7" s="911"/>
      <c r="G7" s="911"/>
      <c r="H7" s="911"/>
      <c r="I7" s="911"/>
      <c r="J7" s="911"/>
      <c r="K7" s="911"/>
      <c r="L7" s="988"/>
      <c r="M7" s="911"/>
      <c r="N7" s="911"/>
      <c r="O7" s="911"/>
      <c r="P7" s="911"/>
      <c r="Q7" s="911" t="b">
        <v>1</v>
      </c>
      <c r="R7" s="911" t="b">
        <v>0</v>
      </c>
      <c r="S7" s="911" t="b">
        <v>0</v>
      </c>
      <c r="T7" s="911" t="b">
        <v>0</v>
      </c>
      <c r="U7" s="911" t="b">
        <v>0</v>
      </c>
      <c r="V7" s="911"/>
      <c r="W7" s="911"/>
      <c r="X7" s="911"/>
      <c r="Y7" s="911"/>
      <c r="Z7" s="911"/>
      <c r="AA7" s="911"/>
      <c r="AB7" s="911"/>
      <c r="AC7" s="911"/>
      <c r="AD7" s="911"/>
      <c r="AE7" s="911"/>
      <c r="AF7" s="911"/>
      <c r="AG7" s="911"/>
      <c r="AH7" s="911"/>
      <c r="AI7" s="911"/>
      <c r="AJ7" s="911"/>
      <c r="AK7" s="911"/>
      <c r="AL7" s="911"/>
      <c r="AM7" s="911"/>
      <c r="AN7" s="911"/>
      <c r="AO7" s="911"/>
      <c r="AP7" s="911"/>
      <c r="AQ7" s="911"/>
    </row>
    <row r="8" spans="1:43" hidden="1">
      <c r="A8" s="911"/>
      <c r="B8" s="911"/>
      <c r="C8" s="911"/>
      <c r="D8" s="911"/>
      <c r="E8" s="911"/>
      <c r="F8" s="911"/>
      <c r="G8" s="911"/>
      <c r="H8" s="911"/>
      <c r="I8" s="911"/>
      <c r="J8" s="911"/>
      <c r="K8" s="911"/>
      <c r="L8" s="988"/>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row>
    <row r="9" spans="1:43" hidden="1">
      <c r="A9" s="911"/>
      <c r="B9" s="911"/>
      <c r="C9" s="911"/>
      <c r="D9" s="911"/>
      <c r="E9" s="911"/>
      <c r="F9" s="911"/>
      <c r="G9" s="911"/>
      <c r="H9" s="911"/>
      <c r="I9" s="911"/>
      <c r="J9" s="911"/>
      <c r="K9" s="911"/>
      <c r="L9" s="988"/>
      <c r="M9" s="911"/>
      <c r="N9" s="911"/>
      <c r="O9" s="911"/>
      <c r="P9" s="911"/>
      <c r="Q9" s="911"/>
      <c r="R9" s="911"/>
      <c r="S9" s="911"/>
      <c r="T9" s="911"/>
      <c r="U9" s="911"/>
      <c r="V9" s="911"/>
      <c r="W9" s="911"/>
      <c r="X9" s="911"/>
      <c r="Y9" s="911"/>
      <c r="Z9" s="911"/>
      <c r="AA9" s="911"/>
      <c r="AB9" s="911"/>
      <c r="AC9" s="911"/>
      <c r="AD9" s="911"/>
      <c r="AE9" s="911"/>
      <c r="AF9" s="911"/>
      <c r="AG9" s="911"/>
      <c r="AH9" s="911"/>
      <c r="AI9" s="911"/>
      <c r="AJ9" s="911"/>
      <c r="AK9" s="911"/>
      <c r="AL9" s="911"/>
      <c r="AM9" s="911"/>
      <c r="AN9" s="911"/>
      <c r="AO9" s="911"/>
      <c r="AP9" s="911"/>
      <c r="AQ9" s="911"/>
    </row>
    <row r="10" spans="1:43" hidden="1">
      <c r="A10" s="911"/>
      <c r="B10" s="911"/>
      <c r="C10" s="911"/>
      <c r="D10" s="911"/>
      <c r="E10" s="911"/>
      <c r="F10" s="911"/>
      <c r="G10" s="911"/>
      <c r="H10" s="911"/>
      <c r="I10" s="911"/>
      <c r="J10" s="911"/>
      <c r="K10" s="911"/>
      <c r="L10" s="988"/>
      <c r="M10" s="911"/>
      <c r="N10" s="911"/>
      <c r="O10" s="911"/>
      <c r="P10" s="911"/>
      <c r="Q10" s="911"/>
      <c r="R10" s="911"/>
      <c r="S10" s="911"/>
      <c r="T10" s="911"/>
      <c r="U10" s="911"/>
      <c r="V10" s="911"/>
      <c r="W10" s="911"/>
      <c r="X10" s="911"/>
      <c r="Y10" s="911"/>
      <c r="Z10" s="911"/>
      <c r="AA10" s="911"/>
      <c r="AB10" s="911"/>
      <c r="AC10" s="911"/>
      <c r="AD10" s="911"/>
      <c r="AE10" s="911"/>
      <c r="AF10" s="911"/>
      <c r="AG10" s="911"/>
      <c r="AH10" s="911"/>
      <c r="AI10" s="911"/>
      <c r="AJ10" s="911"/>
      <c r="AK10" s="911"/>
      <c r="AL10" s="911"/>
      <c r="AM10" s="911"/>
      <c r="AN10" s="911"/>
      <c r="AO10" s="911"/>
      <c r="AP10" s="911"/>
      <c r="AQ10" s="911"/>
    </row>
    <row r="11" spans="1:43" ht="15" hidden="1" customHeight="1">
      <c r="A11" s="911"/>
      <c r="B11" s="911"/>
      <c r="C11" s="911"/>
      <c r="D11" s="911"/>
      <c r="E11" s="911"/>
      <c r="F11" s="911"/>
      <c r="G11" s="911"/>
      <c r="H11" s="911"/>
      <c r="I11" s="911"/>
      <c r="J11" s="911"/>
      <c r="K11" s="911"/>
      <c r="L11" s="990"/>
      <c r="M11" s="911"/>
      <c r="N11" s="911"/>
      <c r="O11" s="911"/>
      <c r="P11" s="911"/>
      <c r="Q11" s="911"/>
      <c r="R11" s="911"/>
      <c r="S11" s="911"/>
      <c r="T11" s="911"/>
      <c r="U11" s="911"/>
      <c r="V11" s="911"/>
      <c r="W11" s="911"/>
      <c r="X11" s="911"/>
      <c r="Y11" s="911"/>
      <c r="Z11" s="911"/>
      <c r="AA11" s="911"/>
      <c r="AB11" s="911"/>
      <c r="AC11" s="911"/>
      <c r="AD11" s="911"/>
      <c r="AE11" s="911"/>
      <c r="AF11" s="911"/>
      <c r="AG11" s="911"/>
      <c r="AH11" s="911"/>
      <c r="AI11" s="911"/>
      <c r="AJ11" s="911"/>
      <c r="AK11" s="911"/>
      <c r="AL11" s="911"/>
      <c r="AM11" s="911"/>
      <c r="AN11" s="911"/>
      <c r="AO11" s="911"/>
      <c r="AP11" s="911"/>
      <c r="AQ11" s="911"/>
    </row>
    <row r="12" spans="1:43" s="292" customFormat="1" ht="24" customHeight="1">
      <c r="A12" s="991"/>
      <c r="B12" s="991"/>
      <c r="C12" s="991"/>
      <c r="D12" s="991"/>
      <c r="E12" s="991"/>
      <c r="F12" s="991"/>
      <c r="G12" s="991"/>
      <c r="H12" s="991"/>
      <c r="I12" s="991"/>
      <c r="J12" s="991"/>
      <c r="K12" s="991"/>
      <c r="L12" s="419" t="s">
        <v>1256</v>
      </c>
      <c r="M12" s="269"/>
      <c r="N12" s="269"/>
      <c r="O12" s="269"/>
      <c r="P12" s="269"/>
      <c r="Q12" s="269"/>
      <c r="R12" s="269"/>
      <c r="S12" s="269"/>
      <c r="T12" s="269"/>
      <c r="U12" s="269"/>
      <c r="V12" s="991"/>
      <c r="W12" s="991"/>
      <c r="X12" s="991"/>
      <c r="Y12" s="991"/>
      <c r="Z12" s="991"/>
      <c r="AA12" s="991"/>
      <c r="AB12" s="991"/>
      <c r="AC12" s="991"/>
      <c r="AD12" s="991"/>
      <c r="AE12" s="991"/>
      <c r="AF12" s="991"/>
      <c r="AG12" s="991"/>
      <c r="AH12" s="991"/>
      <c r="AI12" s="991"/>
      <c r="AJ12" s="991"/>
      <c r="AK12" s="991"/>
      <c r="AL12" s="991"/>
      <c r="AM12" s="991"/>
      <c r="AN12" s="991"/>
      <c r="AO12" s="991"/>
      <c r="AP12" s="991"/>
      <c r="AQ12" s="991"/>
    </row>
    <row r="13" spans="1:43">
      <c r="A13" s="911"/>
      <c r="B13" s="911"/>
      <c r="C13" s="911"/>
      <c r="D13" s="911"/>
      <c r="E13" s="911"/>
      <c r="F13" s="911"/>
      <c r="G13" s="911"/>
      <c r="H13" s="911"/>
      <c r="I13" s="911"/>
      <c r="J13" s="911"/>
      <c r="K13" s="911"/>
      <c r="L13" s="989"/>
      <c r="M13" s="989"/>
      <c r="N13" s="911"/>
      <c r="O13" s="911"/>
      <c r="P13" s="911"/>
      <c r="Q13" s="911"/>
      <c r="R13" s="911"/>
      <c r="S13" s="911"/>
      <c r="T13" s="911"/>
      <c r="U13" s="911"/>
      <c r="V13" s="911"/>
      <c r="W13" s="911"/>
      <c r="X13" s="911"/>
      <c r="Y13" s="911"/>
      <c r="Z13" s="911"/>
      <c r="AA13" s="911"/>
      <c r="AB13" s="911"/>
      <c r="AC13" s="911"/>
      <c r="AD13" s="911"/>
      <c r="AE13" s="911"/>
      <c r="AF13" s="911"/>
      <c r="AG13" s="911"/>
      <c r="AH13" s="911"/>
      <c r="AI13" s="911"/>
      <c r="AJ13" s="911"/>
      <c r="AK13" s="911"/>
      <c r="AL13" s="911"/>
      <c r="AM13" s="989"/>
      <c r="AN13" s="911"/>
      <c r="AO13" s="911"/>
      <c r="AP13" s="911"/>
      <c r="AQ13" s="911"/>
    </row>
    <row r="14" spans="1:43" s="509" customFormat="1" ht="20.25" customHeight="1">
      <c r="A14" s="911"/>
      <c r="B14" s="911"/>
      <c r="C14" s="911"/>
      <c r="D14" s="911"/>
      <c r="E14" s="911"/>
      <c r="F14" s="911"/>
      <c r="G14" s="911"/>
      <c r="H14" s="911"/>
      <c r="I14" s="911"/>
      <c r="J14" s="911"/>
      <c r="K14" s="911"/>
      <c r="L14" s="1135" t="s">
        <v>1618</v>
      </c>
      <c r="M14" s="1135"/>
      <c r="N14" s="1135"/>
      <c r="O14" s="1135"/>
      <c r="P14" s="877" t="s">
        <v>21</v>
      </c>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89"/>
    </row>
    <row r="15" spans="1:43" s="509" customFormat="1">
      <c r="A15" s="911"/>
      <c r="B15" s="911"/>
      <c r="C15" s="911"/>
      <c r="D15" s="911"/>
      <c r="E15" s="911"/>
      <c r="F15" s="911"/>
      <c r="G15" s="911"/>
      <c r="H15" s="911"/>
      <c r="I15" s="911"/>
      <c r="J15" s="911"/>
      <c r="K15" s="911"/>
      <c r="L15" s="989"/>
      <c r="M15" s="989"/>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89"/>
      <c r="AN15" s="911"/>
      <c r="AO15" s="911"/>
      <c r="AP15" s="911"/>
      <c r="AQ15" s="911"/>
    </row>
    <row r="16" spans="1:43" s="293" customFormat="1" ht="39" customHeight="1">
      <c r="A16" s="989"/>
      <c r="B16" s="989"/>
      <c r="C16" s="989"/>
      <c r="D16" s="989"/>
      <c r="E16" s="989"/>
      <c r="F16" s="989"/>
      <c r="G16" s="989"/>
      <c r="H16" s="989"/>
      <c r="I16" s="989"/>
      <c r="J16" s="989"/>
      <c r="K16" s="989"/>
      <c r="L16" s="1187" t="s">
        <v>14</v>
      </c>
      <c r="M16" s="1190" t="s">
        <v>678</v>
      </c>
      <c r="N16" s="1190" t="s">
        <v>289</v>
      </c>
      <c r="O16" s="1190" t="s">
        <v>679</v>
      </c>
      <c r="P16" s="1190" t="s">
        <v>680</v>
      </c>
      <c r="Q16" s="1190"/>
      <c r="R16" s="1190"/>
      <c r="S16" s="1190"/>
      <c r="T16" s="1190"/>
      <c r="U16" s="1191"/>
      <c r="V16" s="1017"/>
      <c r="W16" s="989"/>
      <c r="X16" s="989"/>
      <c r="Y16" s="989"/>
      <c r="Z16" s="989"/>
      <c r="AA16" s="989"/>
      <c r="AB16" s="989"/>
      <c r="AC16" s="989"/>
      <c r="AD16" s="989"/>
      <c r="AE16" s="989"/>
      <c r="AF16" s="989"/>
      <c r="AG16" s="989"/>
      <c r="AH16" s="989"/>
      <c r="AI16" s="989"/>
      <c r="AJ16" s="989"/>
      <c r="AK16" s="989"/>
      <c r="AL16" s="989"/>
      <c r="AM16" s="989"/>
      <c r="AN16" s="989"/>
      <c r="AO16" s="989"/>
      <c r="AP16" s="989"/>
      <c r="AQ16" s="989"/>
    </row>
    <row r="17" spans="1:43" s="293" customFormat="1" ht="36" customHeight="1">
      <c r="A17" s="989"/>
      <c r="B17" s="989"/>
      <c r="C17" s="989"/>
      <c r="D17" s="989"/>
      <c r="E17" s="989"/>
      <c r="F17" s="989"/>
      <c r="G17" s="989"/>
      <c r="H17" s="989"/>
      <c r="I17" s="989"/>
      <c r="J17" s="989"/>
      <c r="K17" s="989"/>
      <c r="L17" s="1188"/>
      <c r="M17" s="1190"/>
      <c r="N17" s="1190"/>
      <c r="O17" s="1190"/>
      <c r="P17" s="1018" t="s">
        <v>322</v>
      </c>
      <c r="Q17" s="1018" t="s">
        <v>681</v>
      </c>
      <c r="R17" s="1018" t="s">
        <v>1624</v>
      </c>
      <c r="S17" s="1018" t="s">
        <v>1625</v>
      </c>
      <c r="T17" s="1018" t="s">
        <v>1626</v>
      </c>
      <c r="U17" s="1019" t="s">
        <v>1627</v>
      </c>
      <c r="V17" s="1017"/>
      <c r="W17" s="989"/>
      <c r="X17" s="989"/>
      <c r="Y17" s="989"/>
      <c r="Z17" s="989"/>
      <c r="AA17" s="989"/>
      <c r="AB17" s="989"/>
      <c r="AC17" s="989"/>
      <c r="AD17" s="989"/>
      <c r="AE17" s="989"/>
      <c r="AF17" s="989"/>
      <c r="AG17" s="989"/>
      <c r="AH17" s="989"/>
      <c r="AI17" s="989"/>
      <c r="AJ17" s="989"/>
      <c r="AK17" s="989"/>
      <c r="AL17" s="989"/>
      <c r="AM17" s="989"/>
      <c r="AN17" s="989"/>
      <c r="AO17" s="989"/>
      <c r="AP17" s="989"/>
      <c r="AQ17" s="989"/>
    </row>
    <row r="18" spans="1:43" s="294" customFormat="1">
      <c r="A18" s="1020"/>
      <c r="B18" s="1020"/>
      <c r="C18" s="1020"/>
      <c r="D18" s="1020"/>
      <c r="E18" s="1020"/>
      <c r="F18" s="1020"/>
      <c r="G18" s="1020"/>
      <c r="H18" s="1020"/>
      <c r="I18" s="1020"/>
      <c r="J18" s="1020"/>
      <c r="K18" s="1020"/>
      <c r="L18" s="1189"/>
      <c r="M18" s="1018" t="s">
        <v>352</v>
      </c>
      <c r="N18" s="1018" t="s">
        <v>137</v>
      </c>
      <c r="O18" s="881" t="s">
        <v>137</v>
      </c>
      <c r="P18" s="1018" t="s">
        <v>137</v>
      </c>
      <c r="Q18" s="1018" t="s">
        <v>682</v>
      </c>
      <c r="R18" s="1018" t="s">
        <v>682</v>
      </c>
      <c r="S18" s="1018" t="s">
        <v>682</v>
      </c>
      <c r="T18" s="1018" t="s">
        <v>682</v>
      </c>
      <c r="U18" s="1019" t="s">
        <v>682</v>
      </c>
      <c r="V18" s="1021"/>
      <c r="W18" s="1020"/>
      <c r="X18" s="1020"/>
      <c r="Y18" s="1020"/>
      <c r="Z18" s="1020"/>
      <c r="AA18" s="1020"/>
      <c r="AB18" s="1020"/>
      <c r="AC18" s="1020"/>
      <c r="AD18" s="1020"/>
      <c r="AE18" s="1020"/>
      <c r="AF18" s="1020"/>
      <c r="AG18" s="1020"/>
      <c r="AH18" s="1020"/>
      <c r="AI18" s="1020"/>
      <c r="AJ18" s="1020"/>
      <c r="AK18" s="1020"/>
      <c r="AL18" s="1020"/>
      <c r="AM18" s="1020"/>
      <c r="AN18" s="1020"/>
      <c r="AO18" s="1020"/>
      <c r="AP18" s="1020"/>
      <c r="AQ18" s="1020"/>
    </row>
    <row r="19" spans="1:43" s="101" customFormat="1">
      <c r="A19" s="788" t="s">
        <v>18</v>
      </c>
      <c r="B19" s="874"/>
      <c r="C19" s="874"/>
      <c r="D19" s="874"/>
      <c r="E19" s="874"/>
      <c r="F19" s="874"/>
      <c r="G19" s="874"/>
      <c r="H19" s="874"/>
      <c r="I19" s="874"/>
      <c r="J19" s="874"/>
      <c r="K19" s="874"/>
      <c r="L19" s="888" t="s">
        <v>3005</v>
      </c>
      <c r="M19" s="889"/>
      <c r="N19" s="889"/>
      <c r="O19" s="889"/>
      <c r="P19" s="889"/>
      <c r="Q19" s="889"/>
      <c r="R19" s="889"/>
      <c r="S19" s="889"/>
      <c r="T19" s="889"/>
      <c r="U19" s="889"/>
      <c r="V19" s="1022"/>
      <c r="W19" s="874"/>
      <c r="X19" s="874"/>
      <c r="Y19" s="874"/>
      <c r="Z19" s="874"/>
      <c r="AA19" s="874"/>
      <c r="AB19" s="874"/>
      <c r="AC19" s="874"/>
      <c r="AD19" s="874"/>
      <c r="AE19" s="874"/>
      <c r="AF19" s="874"/>
      <c r="AG19" s="874"/>
      <c r="AH19" s="874"/>
      <c r="AI19" s="874"/>
      <c r="AJ19" s="874"/>
      <c r="AK19" s="874"/>
      <c r="AL19" s="874"/>
      <c r="AM19" s="874"/>
      <c r="AN19" s="874"/>
      <c r="AO19" s="874"/>
      <c r="AP19" s="874"/>
      <c r="AQ19" s="874"/>
    </row>
    <row r="20" spans="1:43" s="104" customFormat="1">
      <c r="A20" s="927">
        <v>1</v>
      </c>
      <c r="B20" s="927"/>
      <c r="C20" s="927"/>
      <c r="D20" s="927"/>
      <c r="E20" s="927"/>
      <c r="F20" s="927">
        <v>2020</v>
      </c>
      <c r="G20" s="927" t="b">
        <v>1</v>
      </c>
      <c r="H20" s="927"/>
      <c r="I20" s="927"/>
      <c r="J20" s="927"/>
      <c r="K20" s="927"/>
      <c r="L20" s="1019" t="s">
        <v>3243</v>
      </c>
      <c r="M20" s="1023">
        <v>0</v>
      </c>
      <c r="N20" s="1024">
        <v>0</v>
      </c>
      <c r="O20" s="1023"/>
      <c r="P20" s="1025"/>
      <c r="Q20" s="1024">
        <v>0</v>
      </c>
      <c r="R20" s="1025"/>
      <c r="S20" s="1025"/>
      <c r="T20" s="1024">
        <v>0</v>
      </c>
      <c r="U20" s="1024">
        <v>0</v>
      </c>
      <c r="V20" s="1026"/>
      <c r="W20" s="927"/>
      <c r="X20" s="927"/>
      <c r="Y20" s="927"/>
      <c r="Z20" s="927"/>
      <c r="AA20" s="927"/>
      <c r="AB20" s="927"/>
      <c r="AC20" s="927"/>
      <c r="AD20" s="927"/>
      <c r="AE20" s="927"/>
      <c r="AF20" s="927"/>
      <c r="AG20" s="927"/>
      <c r="AH20" s="927"/>
      <c r="AI20" s="927"/>
      <c r="AJ20" s="927"/>
      <c r="AK20" s="927"/>
      <c r="AL20" s="927"/>
      <c r="AM20" s="927"/>
      <c r="AN20" s="927"/>
      <c r="AO20" s="927"/>
      <c r="AP20" s="927"/>
      <c r="AQ20" s="927"/>
    </row>
    <row r="21" spans="1:43" s="104" customFormat="1">
      <c r="A21" s="927">
        <v>1</v>
      </c>
      <c r="B21" s="927"/>
      <c r="C21" s="927"/>
      <c r="D21" s="927"/>
      <c r="E21" s="927"/>
      <c r="F21" s="927">
        <v>2021</v>
      </c>
      <c r="G21" s="927" t="b">
        <v>1</v>
      </c>
      <c r="H21" s="927"/>
      <c r="I21" s="927"/>
      <c r="J21" s="927"/>
      <c r="K21" s="927"/>
      <c r="L21" s="1019" t="s">
        <v>3244</v>
      </c>
      <c r="M21" s="1023">
        <v>0</v>
      </c>
      <c r="N21" s="1024">
        <v>0</v>
      </c>
      <c r="O21" s="1023"/>
      <c r="P21" s="1025"/>
      <c r="Q21" s="1024">
        <v>0</v>
      </c>
      <c r="R21" s="1025"/>
      <c r="S21" s="1025"/>
      <c r="T21" s="1024">
        <v>0</v>
      </c>
      <c r="U21" s="1024">
        <v>0</v>
      </c>
      <c r="V21" s="1026"/>
      <c r="W21" s="927"/>
      <c r="X21" s="927"/>
      <c r="Y21" s="927"/>
      <c r="Z21" s="927"/>
      <c r="AA21" s="927"/>
      <c r="AB21" s="927"/>
      <c r="AC21" s="927"/>
      <c r="AD21" s="927"/>
      <c r="AE21" s="927"/>
      <c r="AF21" s="927"/>
      <c r="AG21" s="927"/>
      <c r="AH21" s="927"/>
      <c r="AI21" s="927"/>
      <c r="AJ21" s="927"/>
      <c r="AK21" s="927"/>
      <c r="AL21" s="927"/>
      <c r="AM21" s="927"/>
      <c r="AN21" s="927"/>
      <c r="AO21" s="927"/>
      <c r="AP21" s="927"/>
      <c r="AQ21" s="927"/>
    </row>
    <row r="22" spans="1:43" s="104" customFormat="1">
      <c r="A22" s="927">
        <v>1</v>
      </c>
      <c r="B22" s="927"/>
      <c r="C22" s="927"/>
      <c r="D22" s="927"/>
      <c r="E22" s="927"/>
      <c r="F22" s="927">
        <v>2022</v>
      </c>
      <c r="G22" s="927" t="b">
        <v>1</v>
      </c>
      <c r="H22" s="927"/>
      <c r="I22" s="927"/>
      <c r="J22" s="927"/>
      <c r="K22" s="927"/>
      <c r="L22" s="1019" t="s">
        <v>3010</v>
      </c>
      <c r="M22" s="1023">
        <v>1702.09</v>
      </c>
      <c r="N22" s="1024">
        <v>1</v>
      </c>
      <c r="O22" s="1023"/>
      <c r="P22" s="1025"/>
      <c r="Q22" s="1024">
        <v>2.3305084745762712E-2</v>
      </c>
      <c r="R22" s="1025"/>
      <c r="S22" s="1025"/>
      <c r="T22" s="1024">
        <v>2.3305084745762712E-2</v>
      </c>
      <c r="U22" s="1024">
        <v>2.3305084745762712E-2</v>
      </c>
      <c r="V22" s="1026"/>
      <c r="W22" s="927"/>
      <c r="X22" s="927"/>
      <c r="Y22" s="927"/>
      <c r="Z22" s="927"/>
      <c r="AA22" s="927"/>
      <c r="AB22" s="927"/>
      <c r="AC22" s="927"/>
      <c r="AD22" s="927"/>
      <c r="AE22" s="927"/>
      <c r="AF22" s="927"/>
      <c r="AG22" s="927"/>
      <c r="AH22" s="927"/>
      <c r="AI22" s="927"/>
      <c r="AJ22" s="927"/>
      <c r="AK22" s="927"/>
      <c r="AL22" s="927"/>
      <c r="AM22" s="927"/>
      <c r="AN22" s="927"/>
      <c r="AO22" s="927"/>
      <c r="AP22" s="927"/>
      <c r="AQ22" s="927"/>
    </row>
    <row r="23" spans="1:43" s="104" customFormat="1">
      <c r="A23" s="927">
        <v>1</v>
      </c>
      <c r="B23" s="927"/>
      <c r="C23" s="927"/>
      <c r="D23" s="927"/>
      <c r="E23" s="927"/>
      <c r="F23" s="927">
        <v>2023</v>
      </c>
      <c r="G23" s="927" t="b">
        <v>1</v>
      </c>
      <c r="H23" s="927"/>
      <c r="I23" s="927"/>
      <c r="J23" s="927"/>
      <c r="K23" s="927"/>
      <c r="L23" s="1019" t="s">
        <v>3011</v>
      </c>
      <c r="M23" s="1023">
        <v>1963.45</v>
      </c>
      <c r="N23" s="1024">
        <v>1</v>
      </c>
      <c r="O23" s="1023"/>
      <c r="P23" s="1025"/>
      <c r="Q23" s="1024">
        <v>2.3298117959840482E-2</v>
      </c>
      <c r="R23" s="1025"/>
      <c r="S23" s="1025"/>
      <c r="T23" s="1024">
        <v>2.3298117959840482E-2</v>
      </c>
      <c r="U23" s="1024">
        <v>2.3298117959840482E-2</v>
      </c>
      <c r="V23" s="1026"/>
      <c r="W23" s="927"/>
      <c r="X23" s="927"/>
      <c r="Y23" s="927"/>
      <c r="Z23" s="927"/>
      <c r="AA23" s="927"/>
      <c r="AB23" s="927"/>
      <c r="AC23" s="927"/>
      <c r="AD23" s="927"/>
      <c r="AE23" s="927"/>
      <c r="AF23" s="927"/>
      <c r="AG23" s="927"/>
      <c r="AH23" s="927"/>
      <c r="AI23" s="927"/>
      <c r="AJ23" s="927"/>
      <c r="AK23" s="927"/>
      <c r="AL23" s="927"/>
      <c r="AM23" s="927"/>
      <c r="AN23" s="927"/>
      <c r="AO23" s="927"/>
      <c r="AP23" s="927"/>
      <c r="AQ23" s="927"/>
    </row>
    <row r="24" spans="1:43" s="104" customFormat="1">
      <c r="A24" s="927">
        <v>1</v>
      </c>
      <c r="B24" s="927"/>
      <c r="C24" s="927"/>
      <c r="D24" s="927"/>
      <c r="E24" s="927"/>
      <c r="F24" s="927">
        <v>2024</v>
      </c>
      <c r="G24" s="927" t="b">
        <v>1</v>
      </c>
      <c r="H24" s="927"/>
      <c r="I24" s="927"/>
      <c r="J24" s="927"/>
      <c r="K24" s="927"/>
      <c r="L24" s="1019" t="s">
        <v>3012</v>
      </c>
      <c r="M24" s="1023">
        <v>2083.77</v>
      </c>
      <c r="N24" s="1024">
        <v>1</v>
      </c>
      <c r="O24" s="1023"/>
      <c r="P24" s="1025"/>
      <c r="Q24" s="1024">
        <v>2.3293829178586026E-2</v>
      </c>
      <c r="R24" s="1025"/>
      <c r="S24" s="1025"/>
      <c r="T24" s="1024">
        <v>2.3293829178586026E-2</v>
      </c>
      <c r="U24" s="1024">
        <v>2.3293829178586026E-2</v>
      </c>
      <c r="V24" s="1026"/>
      <c r="W24" s="927"/>
      <c r="X24" s="927"/>
      <c r="Y24" s="927"/>
      <c r="Z24" s="927"/>
      <c r="AA24" s="927"/>
      <c r="AB24" s="927"/>
      <c r="AC24" s="927"/>
      <c r="AD24" s="927"/>
      <c r="AE24" s="927"/>
      <c r="AF24" s="927"/>
      <c r="AG24" s="927"/>
      <c r="AH24" s="927"/>
      <c r="AI24" s="927"/>
      <c r="AJ24" s="927"/>
      <c r="AK24" s="927"/>
      <c r="AL24" s="927"/>
      <c r="AM24" s="927"/>
      <c r="AN24" s="927"/>
      <c r="AO24" s="927"/>
      <c r="AP24" s="927"/>
      <c r="AQ24" s="927"/>
    </row>
    <row r="25" spans="1:43" s="104" customFormat="1" ht="0.15" customHeight="1">
      <c r="A25" s="927">
        <v>1</v>
      </c>
      <c r="B25" s="927"/>
      <c r="C25" s="927"/>
      <c r="D25" s="927"/>
      <c r="E25" s="927"/>
      <c r="F25" s="927">
        <v>2025</v>
      </c>
      <c r="G25" s="927" t="b">
        <v>0</v>
      </c>
      <c r="H25" s="927"/>
      <c r="I25" s="927"/>
      <c r="J25" s="927"/>
      <c r="K25" s="927"/>
      <c r="L25" s="1019" t="s">
        <v>3046</v>
      </c>
      <c r="M25" s="1023">
        <v>2083.77</v>
      </c>
      <c r="N25" s="1024">
        <v>0</v>
      </c>
      <c r="O25" s="1023"/>
      <c r="P25" s="1025"/>
      <c r="Q25" s="1024">
        <v>0</v>
      </c>
      <c r="R25" s="1025"/>
      <c r="S25" s="1025"/>
      <c r="T25" s="1024">
        <v>0</v>
      </c>
      <c r="U25" s="1024">
        <v>0</v>
      </c>
      <c r="V25" s="1026"/>
      <c r="W25" s="927"/>
      <c r="X25" s="927"/>
      <c r="Y25" s="927"/>
      <c r="Z25" s="927"/>
      <c r="AA25" s="927"/>
      <c r="AB25" s="927"/>
      <c r="AC25" s="927"/>
      <c r="AD25" s="927"/>
      <c r="AE25" s="927"/>
      <c r="AF25" s="927"/>
      <c r="AG25" s="927"/>
      <c r="AH25" s="927"/>
      <c r="AI25" s="927"/>
      <c r="AJ25" s="927"/>
      <c r="AK25" s="927"/>
      <c r="AL25" s="927"/>
      <c r="AM25" s="927"/>
      <c r="AN25" s="927"/>
      <c r="AO25" s="927"/>
      <c r="AP25" s="927"/>
      <c r="AQ25" s="927"/>
    </row>
    <row r="26" spans="1:43" s="104" customFormat="1" ht="0.15" customHeight="1">
      <c r="A26" s="927">
        <v>1</v>
      </c>
      <c r="B26" s="927"/>
      <c r="C26" s="927"/>
      <c r="D26" s="927"/>
      <c r="E26" s="927"/>
      <c r="F26" s="927">
        <v>2026</v>
      </c>
      <c r="G26" s="927" t="b">
        <v>0</v>
      </c>
      <c r="H26" s="927"/>
      <c r="I26" s="927"/>
      <c r="J26" s="927"/>
      <c r="K26" s="927"/>
      <c r="L26" s="1019" t="s">
        <v>3047</v>
      </c>
      <c r="M26" s="1023">
        <v>2083.77</v>
      </c>
      <c r="N26" s="1024">
        <v>0</v>
      </c>
      <c r="O26" s="1023"/>
      <c r="P26" s="1025"/>
      <c r="Q26" s="1024">
        <v>0</v>
      </c>
      <c r="R26" s="1025"/>
      <c r="S26" s="1025"/>
      <c r="T26" s="1024">
        <v>0</v>
      </c>
      <c r="U26" s="1024">
        <v>0</v>
      </c>
      <c r="V26" s="1026"/>
      <c r="W26" s="927"/>
      <c r="X26" s="927"/>
      <c r="Y26" s="927"/>
      <c r="Z26" s="927"/>
      <c r="AA26" s="927"/>
      <c r="AB26" s="927"/>
      <c r="AC26" s="927"/>
      <c r="AD26" s="927"/>
      <c r="AE26" s="927"/>
      <c r="AF26" s="927"/>
      <c r="AG26" s="927"/>
      <c r="AH26" s="927"/>
      <c r="AI26" s="927"/>
      <c r="AJ26" s="927"/>
      <c r="AK26" s="927"/>
      <c r="AL26" s="927"/>
      <c r="AM26" s="927"/>
      <c r="AN26" s="927"/>
      <c r="AO26" s="927"/>
      <c r="AP26" s="927"/>
      <c r="AQ26" s="927"/>
    </row>
    <row r="27" spans="1:43" s="104" customFormat="1" ht="0.15" customHeight="1">
      <c r="A27" s="927">
        <v>1</v>
      </c>
      <c r="B27" s="927"/>
      <c r="C27" s="927"/>
      <c r="D27" s="927"/>
      <c r="E27" s="927"/>
      <c r="F27" s="927">
        <v>2027</v>
      </c>
      <c r="G27" s="927" t="b">
        <v>0</v>
      </c>
      <c r="H27" s="927"/>
      <c r="I27" s="927"/>
      <c r="J27" s="927"/>
      <c r="K27" s="927"/>
      <c r="L27" s="1019" t="s">
        <v>3048</v>
      </c>
      <c r="M27" s="1023">
        <v>2083.77</v>
      </c>
      <c r="N27" s="1024">
        <v>0</v>
      </c>
      <c r="O27" s="1023"/>
      <c r="P27" s="1025"/>
      <c r="Q27" s="1024">
        <v>0</v>
      </c>
      <c r="R27" s="1025"/>
      <c r="S27" s="1025"/>
      <c r="T27" s="1024">
        <v>0</v>
      </c>
      <c r="U27" s="1024">
        <v>0</v>
      </c>
      <c r="V27" s="1026"/>
      <c r="W27" s="927"/>
      <c r="X27" s="927"/>
      <c r="Y27" s="927"/>
      <c r="Z27" s="927"/>
      <c r="AA27" s="927"/>
      <c r="AB27" s="927"/>
      <c r="AC27" s="927"/>
      <c r="AD27" s="927"/>
      <c r="AE27" s="927"/>
      <c r="AF27" s="927"/>
      <c r="AG27" s="927"/>
      <c r="AH27" s="927"/>
      <c r="AI27" s="927"/>
      <c r="AJ27" s="927"/>
      <c r="AK27" s="927"/>
      <c r="AL27" s="927"/>
      <c r="AM27" s="927"/>
      <c r="AN27" s="927"/>
      <c r="AO27" s="927"/>
      <c r="AP27" s="927"/>
      <c r="AQ27" s="927"/>
    </row>
    <row r="28" spans="1:43" s="104" customFormat="1" ht="0.15" customHeight="1">
      <c r="A28" s="927">
        <v>1</v>
      </c>
      <c r="B28" s="927"/>
      <c r="C28" s="927"/>
      <c r="D28" s="927"/>
      <c r="E28" s="927"/>
      <c r="F28" s="927">
        <v>2028</v>
      </c>
      <c r="G28" s="927" t="b">
        <v>0</v>
      </c>
      <c r="H28" s="927"/>
      <c r="I28" s="927"/>
      <c r="J28" s="927"/>
      <c r="K28" s="927"/>
      <c r="L28" s="1019" t="s">
        <v>3049</v>
      </c>
      <c r="M28" s="1023">
        <v>2083.77</v>
      </c>
      <c r="N28" s="1024">
        <v>0</v>
      </c>
      <c r="O28" s="1023"/>
      <c r="P28" s="1025"/>
      <c r="Q28" s="1024">
        <v>0</v>
      </c>
      <c r="R28" s="1025"/>
      <c r="S28" s="1025"/>
      <c r="T28" s="1024">
        <v>0</v>
      </c>
      <c r="U28" s="1024">
        <v>0</v>
      </c>
      <c r="V28" s="1026"/>
      <c r="W28" s="927"/>
      <c r="X28" s="927"/>
      <c r="Y28" s="927"/>
      <c r="Z28" s="927"/>
      <c r="AA28" s="927"/>
      <c r="AB28" s="927"/>
      <c r="AC28" s="927"/>
      <c r="AD28" s="927"/>
      <c r="AE28" s="927"/>
      <c r="AF28" s="927"/>
      <c r="AG28" s="927"/>
      <c r="AH28" s="927"/>
      <c r="AI28" s="927"/>
      <c r="AJ28" s="927"/>
      <c r="AK28" s="927"/>
      <c r="AL28" s="927"/>
      <c r="AM28" s="927"/>
      <c r="AN28" s="927"/>
      <c r="AO28" s="927"/>
      <c r="AP28" s="927"/>
      <c r="AQ28" s="927"/>
    </row>
    <row r="29" spans="1:43" s="104" customFormat="1" ht="0.15" customHeight="1">
      <c r="A29" s="927">
        <v>1</v>
      </c>
      <c r="B29" s="927"/>
      <c r="C29" s="927"/>
      <c r="D29" s="927"/>
      <c r="E29" s="927"/>
      <c r="F29" s="927">
        <v>2029</v>
      </c>
      <c r="G29" s="927" t="b">
        <v>0</v>
      </c>
      <c r="H29" s="927"/>
      <c r="I29" s="927"/>
      <c r="J29" s="927"/>
      <c r="K29" s="927"/>
      <c r="L29" s="1019" t="s">
        <v>3050</v>
      </c>
      <c r="M29" s="1023">
        <v>2083.77</v>
      </c>
      <c r="N29" s="1024">
        <v>0</v>
      </c>
      <c r="O29" s="1023"/>
      <c r="P29" s="1025"/>
      <c r="Q29" s="1024">
        <v>0</v>
      </c>
      <c r="R29" s="1025"/>
      <c r="S29" s="1025"/>
      <c r="T29" s="1024">
        <v>0</v>
      </c>
      <c r="U29" s="1024">
        <v>0</v>
      </c>
      <c r="V29" s="1026"/>
      <c r="W29" s="927"/>
      <c r="X29" s="927"/>
      <c r="Y29" s="927"/>
      <c r="Z29" s="927"/>
      <c r="AA29" s="927"/>
      <c r="AB29" s="927"/>
      <c r="AC29" s="927"/>
      <c r="AD29" s="927"/>
      <c r="AE29" s="927"/>
      <c r="AF29" s="927"/>
      <c r="AG29" s="927"/>
      <c r="AH29" s="927"/>
      <c r="AI29" s="927"/>
      <c r="AJ29" s="927"/>
      <c r="AK29" s="927"/>
      <c r="AL29" s="927"/>
      <c r="AM29" s="927"/>
      <c r="AN29" s="927"/>
      <c r="AO29" s="927"/>
      <c r="AP29" s="927"/>
      <c r="AQ29" s="927"/>
    </row>
    <row r="30" spans="1:43" s="104" customFormat="1" ht="0.15" customHeight="1">
      <c r="A30" s="927">
        <v>1</v>
      </c>
      <c r="B30" s="927"/>
      <c r="C30" s="927"/>
      <c r="D30" s="927"/>
      <c r="E30" s="927"/>
      <c r="F30" s="927">
        <v>2030</v>
      </c>
      <c r="G30" s="927" t="b">
        <v>0</v>
      </c>
      <c r="H30" s="927"/>
      <c r="I30" s="927"/>
      <c r="J30" s="927"/>
      <c r="K30" s="927"/>
      <c r="L30" s="1019" t="s">
        <v>3051</v>
      </c>
      <c r="M30" s="1023"/>
      <c r="N30" s="1024"/>
      <c r="O30" s="1023"/>
      <c r="P30" s="1025"/>
      <c r="Q30" s="1024"/>
      <c r="R30" s="1025"/>
      <c r="S30" s="1025"/>
      <c r="T30" s="1024"/>
      <c r="U30" s="1024"/>
      <c r="V30" s="1026"/>
      <c r="W30" s="927"/>
      <c r="X30" s="927"/>
      <c r="Y30" s="927"/>
      <c r="Z30" s="927"/>
      <c r="AA30" s="927"/>
      <c r="AB30" s="927"/>
      <c r="AC30" s="927"/>
      <c r="AD30" s="927"/>
      <c r="AE30" s="927"/>
      <c r="AF30" s="927"/>
      <c r="AG30" s="927"/>
      <c r="AH30" s="927"/>
      <c r="AI30" s="927"/>
      <c r="AJ30" s="927"/>
      <c r="AK30" s="927"/>
      <c r="AL30" s="927"/>
      <c r="AM30" s="927"/>
      <c r="AN30" s="927"/>
      <c r="AO30" s="927"/>
      <c r="AP30" s="927"/>
      <c r="AQ30" s="927"/>
    </row>
    <row r="31" spans="1:43" s="104" customFormat="1" ht="0.15" customHeight="1">
      <c r="A31" s="927">
        <v>1</v>
      </c>
      <c r="B31" s="927"/>
      <c r="C31" s="927"/>
      <c r="D31" s="927"/>
      <c r="E31" s="927"/>
      <c r="F31" s="927">
        <v>2031</v>
      </c>
      <c r="G31" s="927" t="b">
        <v>0</v>
      </c>
      <c r="H31" s="927"/>
      <c r="I31" s="927"/>
      <c r="J31" s="927"/>
      <c r="K31" s="927"/>
      <c r="L31" s="1019" t="s">
        <v>3052</v>
      </c>
      <c r="M31" s="1023"/>
      <c r="N31" s="1024"/>
      <c r="O31" s="1023"/>
      <c r="P31" s="1025"/>
      <c r="Q31" s="1024"/>
      <c r="R31" s="1025"/>
      <c r="S31" s="1025"/>
      <c r="T31" s="1024"/>
      <c r="U31" s="1024"/>
      <c r="V31" s="1026"/>
      <c r="W31" s="927"/>
      <c r="X31" s="927"/>
      <c r="Y31" s="927"/>
      <c r="Z31" s="927"/>
      <c r="AA31" s="927"/>
      <c r="AB31" s="927"/>
      <c r="AC31" s="927"/>
      <c r="AD31" s="927"/>
      <c r="AE31" s="927"/>
      <c r="AF31" s="927"/>
      <c r="AG31" s="927"/>
      <c r="AH31" s="927"/>
      <c r="AI31" s="927"/>
      <c r="AJ31" s="927"/>
      <c r="AK31" s="927"/>
      <c r="AL31" s="927"/>
      <c r="AM31" s="927"/>
      <c r="AN31" s="927"/>
      <c r="AO31" s="927"/>
      <c r="AP31" s="927"/>
      <c r="AQ31" s="927"/>
    </row>
    <row r="32" spans="1:43" s="104" customFormat="1" ht="0.15" customHeight="1">
      <c r="A32" s="927">
        <v>1</v>
      </c>
      <c r="B32" s="927"/>
      <c r="C32" s="927"/>
      <c r="D32" s="927"/>
      <c r="E32" s="927"/>
      <c r="F32" s="927">
        <v>2032</v>
      </c>
      <c r="G32" s="927" t="b">
        <v>0</v>
      </c>
      <c r="H32" s="927"/>
      <c r="I32" s="927"/>
      <c r="J32" s="927"/>
      <c r="K32" s="927"/>
      <c r="L32" s="1019" t="s">
        <v>3053</v>
      </c>
      <c r="M32" s="1023"/>
      <c r="N32" s="1024"/>
      <c r="O32" s="1023"/>
      <c r="P32" s="1025"/>
      <c r="Q32" s="1024"/>
      <c r="R32" s="1025"/>
      <c r="S32" s="1025"/>
      <c r="T32" s="1024"/>
      <c r="U32" s="1024"/>
      <c r="V32" s="1026"/>
      <c r="W32" s="927"/>
      <c r="X32" s="927"/>
      <c r="Y32" s="927"/>
      <c r="Z32" s="927"/>
      <c r="AA32" s="927"/>
      <c r="AB32" s="927"/>
      <c r="AC32" s="927"/>
      <c r="AD32" s="927"/>
      <c r="AE32" s="927"/>
      <c r="AF32" s="927"/>
      <c r="AG32" s="927"/>
      <c r="AH32" s="927"/>
      <c r="AI32" s="927"/>
      <c r="AJ32" s="927"/>
      <c r="AK32" s="927"/>
      <c r="AL32" s="927"/>
      <c r="AM32" s="927"/>
      <c r="AN32" s="927"/>
      <c r="AO32" s="927"/>
      <c r="AP32" s="927"/>
      <c r="AQ32" s="927"/>
    </row>
    <row r="33" spans="1:43" s="104" customFormat="1" ht="0.15" customHeight="1">
      <c r="A33" s="927">
        <v>1</v>
      </c>
      <c r="B33" s="927"/>
      <c r="C33" s="927"/>
      <c r="D33" s="927"/>
      <c r="E33" s="927"/>
      <c r="F33" s="927">
        <v>2033</v>
      </c>
      <c r="G33" s="927" t="b">
        <v>0</v>
      </c>
      <c r="H33" s="927"/>
      <c r="I33" s="927"/>
      <c r="J33" s="927"/>
      <c r="K33" s="927"/>
      <c r="L33" s="1019" t="s">
        <v>3054</v>
      </c>
      <c r="M33" s="1023"/>
      <c r="N33" s="1024"/>
      <c r="O33" s="1023"/>
      <c r="P33" s="1025"/>
      <c r="Q33" s="1024"/>
      <c r="R33" s="1025"/>
      <c r="S33" s="1025"/>
      <c r="T33" s="1024"/>
      <c r="U33" s="1024"/>
      <c r="V33" s="1026"/>
      <c r="W33" s="927"/>
      <c r="X33" s="927"/>
      <c r="Y33" s="927"/>
      <c r="Z33" s="927"/>
      <c r="AA33" s="927"/>
      <c r="AB33" s="927"/>
      <c r="AC33" s="927"/>
      <c r="AD33" s="927"/>
      <c r="AE33" s="927"/>
      <c r="AF33" s="927"/>
      <c r="AG33" s="927"/>
      <c r="AH33" s="927"/>
      <c r="AI33" s="927"/>
      <c r="AJ33" s="927"/>
      <c r="AK33" s="927"/>
      <c r="AL33" s="927"/>
      <c r="AM33" s="927"/>
      <c r="AN33" s="927"/>
      <c r="AO33" s="927"/>
      <c r="AP33" s="927"/>
      <c r="AQ33" s="927"/>
    </row>
    <row r="34" spans="1:43" s="104" customFormat="1" ht="0.15" customHeight="1">
      <c r="A34" s="927">
        <v>1</v>
      </c>
      <c r="B34" s="927"/>
      <c r="C34" s="927"/>
      <c r="D34" s="927"/>
      <c r="E34" s="927"/>
      <c r="F34" s="927">
        <v>2034</v>
      </c>
      <c r="G34" s="927" t="b">
        <v>0</v>
      </c>
      <c r="H34" s="927"/>
      <c r="I34" s="927"/>
      <c r="J34" s="927"/>
      <c r="K34" s="927"/>
      <c r="L34" s="1019" t="s">
        <v>3203</v>
      </c>
      <c r="M34" s="1023"/>
      <c r="N34" s="1024"/>
      <c r="O34" s="1023"/>
      <c r="P34" s="1025"/>
      <c r="Q34" s="1024"/>
      <c r="R34" s="1025"/>
      <c r="S34" s="1025"/>
      <c r="T34" s="1024"/>
      <c r="U34" s="1024"/>
      <c r="V34" s="1026"/>
      <c r="W34" s="927"/>
      <c r="X34" s="927"/>
      <c r="Y34" s="927"/>
      <c r="Z34" s="927"/>
      <c r="AA34" s="927"/>
      <c r="AB34" s="927"/>
      <c r="AC34" s="927"/>
      <c r="AD34" s="927"/>
      <c r="AE34" s="927"/>
      <c r="AF34" s="927"/>
      <c r="AG34" s="927"/>
      <c r="AH34" s="927"/>
      <c r="AI34" s="927"/>
      <c r="AJ34" s="927"/>
      <c r="AK34" s="927"/>
      <c r="AL34" s="927"/>
      <c r="AM34" s="927"/>
      <c r="AN34" s="927"/>
      <c r="AO34" s="927"/>
      <c r="AP34" s="927"/>
      <c r="AQ34" s="927"/>
    </row>
    <row r="35" spans="1:43" s="104" customFormat="1" ht="0.15" customHeight="1">
      <c r="A35" s="927">
        <v>1</v>
      </c>
      <c r="B35" s="927"/>
      <c r="C35" s="927"/>
      <c r="D35" s="927"/>
      <c r="E35" s="927"/>
      <c r="F35" s="927">
        <v>2035</v>
      </c>
      <c r="G35" s="927" t="b">
        <v>0</v>
      </c>
      <c r="H35" s="927"/>
      <c r="I35" s="927"/>
      <c r="J35" s="927"/>
      <c r="K35" s="927"/>
      <c r="L35" s="1019" t="s">
        <v>3204</v>
      </c>
      <c r="M35" s="1023"/>
      <c r="N35" s="1024"/>
      <c r="O35" s="1023"/>
      <c r="P35" s="1025"/>
      <c r="Q35" s="1024"/>
      <c r="R35" s="1025"/>
      <c r="S35" s="1025"/>
      <c r="T35" s="1024"/>
      <c r="U35" s="1024"/>
      <c r="V35" s="1026"/>
      <c r="W35" s="927"/>
      <c r="X35" s="927"/>
      <c r="Y35" s="927"/>
      <c r="Z35" s="927"/>
      <c r="AA35" s="927"/>
      <c r="AB35" s="927"/>
      <c r="AC35" s="927"/>
      <c r="AD35" s="927"/>
      <c r="AE35" s="927"/>
      <c r="AF35" s="927"/>
      <c r="AG35" s="927"/>
      <c r="AH35" s="927"/>
      <c r="AI35" s="927"/>
      <c r="AJ35" s="927"/>
      <c r="AK35" s="927"/>
      <c r="AL35" s="927"/>
      <c r="AM35" s="927"/>
      <c r="AN35" s="927"/>
      <c r="AO35" s="927"/>
      <c r="AP35" s="927"/>
      <c r="AQ35" s="927"/>
    </row>
    <row r="36" spans="1:43" s="104" customFormat="1" ht="0.15" customHeight="1">
      <c r="A36" s="927">
        <v>1</v>
      </c>
      <c r="B36" s="927"/>
      <c r="C36" s="927"/>
      <c r="D36" s="927"/>
      <c r="E36" s="927"/>
      <c r="F36" s="927">
        <v>2036</v>
      </c>
      <c r="G36" s="927" t="b">
        <v>0</v>
      </c>
      <c r="H36" s="927"/>
      <c r="I36" s="927"/>
      <c r="J36" s="927"/>
      <c r="K36" s="927"/>
      <c r="L36" s="1019" t="s">
        <v>3205</v>
      </c>
      <c r="M36" s="1023"/>
      <c r="N36" s="1024"/>
      <c r="O36" s="1023"/>
      <c r="P36" s="1025"/>
      <c r="Q36" s="1024"/>
      <c r="R36" s="1025"/>
      <c r="S36" s="1025"/>
      <c r="T36" s="1024"/>
      <c r="U36" s="1024"/>
      <c r="V36" s="1026"/>
      <c r="W36" s="927"/>
      <c r="X36" s="927"/>
      <c r="Y36" s="927"/>
      <c r="Z36" s="927"/>
      <c r="AA36" s="927"/>
      <c r="AB36" s="927"/>
      <c r="AC36" s="927"/>
      <c r="AD36" s="927"/>
      <c r="AE36" s="927"/>
      <c r="AF36" s="927"/>
      <c r="AG36" s="927"/>
      <c r="AH36" s="927"/>
      <c r="AI36" s="927"/>
      <c r="AJ36" s="927"/>
      <c r="AK36" s="927"/>
      <c r="AL36" s="927"/>
      <c r="AM36" s="927"/>
      <c r="AN36" s="927"/>
      <c r="AO36" s="927"/>
      <c r="AP36" s="927"/>
      <c r="AQ36" s="927"/>
    </row>
    <row r="37" spans="1:43" s="104" customFormat="1" ht="0.15" customHeight="1">
      <c r="A37" s="927">
        <v>1</v>
      </c>
      <c r="B37" s="927"/>
      <c r="C37" s="927"/>
      <c r="D37" s="927"/>
      <c r="E37" s="927"/>
      <c r="F37" s="927">
        <v>2037</v>
      </c>
      <c r="G37" s="927" t="b">
        <v>0</v>
      </c>
      <c r="H37" s="927"/>
      <c r="I37" s="927"/>
      <c r="J37" s="927"/>
      <c r="K37" s="927"/>
      <c r="L37" s="1019" t="s">
        <v>3206</v>
      </c>
      <c r="M37" s="1023"/>
      <c r="N37" s="1024"/>
      <c r="O37" s="1023"/>
      <c r="P37" s="1025"/>
      <c r="Q37" s="1024"/>
      <c r="R37" s="1025"/>
      <c r="S37" s="1025"/>
      <c r="T37" s="1024"/>
      <c r="U37" s="1024"/>
      <c r="V37" s="1026"/>
      <c r="W37" s="927"/>
      <c r="X37" s="927"/>
      <c r="Y37" s="927"/>
      <c r="Z37" s="927"/>
      <c r="AA37" s="927"/>
      <c r="AB37" s="927"/>
      <c r="AC37" s="927"/>
      <c r="AD37" s="927"/>
      <c r="AE37" s="927"/>
      <c r="AF37" s="927"/>
      <c r="AG37" s="927"/>
      <c r="AH37" s="927"/>
      <c r="AI37" s="927"/>
      <c r="AJ37" s="927"/>
      <c r="AK37" s="927"/>
      <c r="AL37" s="927"/>
      <c r="AM37" s="927"/>
      <c r="AN37" s="927"/>
      <c r="AO37" s="927"/>
      <c r="AP37" s="927"/>
      <c r="AQ37" s="927"/>
    </row>
    <row r="38" spans="1:43" s="104" customFormat="1" ht="0.15" customHeight="1">
      <c r="A38" s="927">
        <v>1</v>
      </c>
      <c r="B38" s="927"/>
      <c r="C38" s="927"/>
      <c r="D38" s="927"/>
      <c r="E38" s="927"/>
      <c r="F38" s="927">
        <v>2038</v>
      </c>
      <c r="G38" s="927" t="b">
        <v>0</v>
      </c>
      <c r="H38" s="927"/>
      <c r="I38" s="927"/>
      <c r="J38" s="927"/>
      <c r="K38" s="927"/>
      <c r="L38" s="1019" t="s">
        <v>3207</v>
      </c>
      <c r="M38" s="1023"/>
      <c r="N38" s="1024"/>
      <c r="O38" s="1023"/>
      <c r="P38" s="1025"/>
      <c r="Q38" s="1024"/>
      <c r="R38" s="1025"/>
      <c r="S38" s="1025"/>
      <c r="T38" s="1024"/>
      <c r="U38" s="1024"/>
      <c r="V38" s="1026"/>
      <c r="W38" s="927"/>
      <c r="X38" s="927"/>
      <c r="Y38" s="927"/>
      <c r="Z38" s="927"/>
      <c r="AA38" s="927"/>
      <c r="AB38" s="927"/>
      <c r="AC38" s="927"/>
      <c r="AD38" s="927"/>
      <c r="AE38" s="927"/>
      <c r="AF38" s="927"/>
      <c r="AG38" s="927"/>
      <c r="AH38" s="927"/>
      <c r="AI38" s="927"/>
      <c r="AJ38" s="927"/>
      <c r="AK38" s="927"/>
      <c r="AL38" s="927"/>
      <c r="AM38" s="927"/>
      <c r="AN38" s="927"/>
      <c r="AO38" s="927"/>
      <c r="AP38" s="927"/>
      <c r="AQ38" s="927"/>
    </row>
    <row r="39" spans="1:43" s="104" customFormat="1" ht="0.15" customHeight="1">
      <c r="A39" s="927">
        <v>1</v>
      </c>
      <c r="B39" s="927"/>
      <c r="C39" s="927"/>
      <c r="D39" s="927"/>
      <c r="E39" s="927"/>
      <c r="F39" s="927">
        <v>2039</v>
      </c>
      <c r="G39" s="927" t="b">
        <v>0</v>
      </c>
      <c r="H39" s="927"/>
      <c r="I39" s="927"/>
      <c r="J39" s="927"/>
      <c r="K39" s="927"/>
      <c r="L39" s="1019" t="s">
        <v>3208</v>
      </c>
      <c r="M39" s="1023"/>
      <c r="N39" s="1024"/>
      <c r="O39" s="1023"/>
      <c r="P39" s="1025"/>
      <c r="Q39" s="1024"/>
      <c r="R39" s="1025"/>
      <c r="S39" s="1025"/>
      <c r="T39" s="1024"/>
      <c r="U39" s="1024"/>
      <c r="V39" s="1026"/>
      <c r="W39" s="927"/>
      <c r="X39" s="927"/>
      <c r="Y39" s="927"/>
      <c r="Z39" s="927"/>
      <c r="AA39" s="927"/>
      <c r="AB39" s="927"/>
      <c r="AC39" s="927"/>
      <c r="AD39" s="927"/>
      <c r="AE39" s="927"/>
      <c r="AF39" s="927"/>
      <c r="AG39" s="927"/>
      <c r="AH39" s="927"/>
      <c r="AI39" s="927"/>
      <c r="AJ39" s="927"/>
      <c r="AK39" s="927"/>
      <c r="AL39" s="927"/>
      <c r="AM39" s="927"/>
      <c r="AN39" s="927"/>
      <c r="AO39" s="927"/>
      <c r="AP39" s="927"/>
      <c r="AQ39" s="927"/>
    </row>
    <row r="40" spans="1:43" s="104" customFormat="1" ht="0.15" customHeight="1">
      <c r="A40" s="927">
        <v>1</v>
      </c>
      <c r="B40" s="927"/>
      <c r="C40" s="927"/>
      <c r="D40" s="927"/>
      <c r="E40" s="927"/>
      <c r="F40" s="927">
        <v>2040</v>
      </c>
      <c r="G40" s="927" t="b">
        <v>0</v>
      </c>
      <c r="H40" s="927"/>
      <c r="I40" s="927"/>
      <c r="J40" s="927"/>
      <c r="K40" s="927"/>
      <c r="L40" s="1019" t="s">
        <v>3209</v>
      </c>
      <c r="M40" s="1023"/>
      <c r="N40" s="1024"/>
      <c r="O40" s="1023"/>
      <c r="P40" s="1025"/>
      <c r="Q40" s="1024"/>
      <c r="R40" s="1025"/>
      <c r="S40" s="1025"/>
      <c r="T40" s="1024"/>
      <c r="U40" s="1024"/>
      <c r="V40" s="1026"/>
      <c r="W40" s="927"/>
      <c r="X40" s="927"/>
      <c r="Y40" s="927"/>
      <c r="Z40" s="927"/>
      <c r="AA40" s="927"/>
      <c r="AB40" s="927"/>
      <c r="AC40" s="927"/>
      <c r="AD40" s="927"/>
      <c r="AE40" s="927"/>
      <c r="AF40" s="927"/>
      <c r="AG40" s="927"/>
      <c r="AH40" s="927"/>
      <c r="AI40" s="927"/>
      <c r="AJ40" s="927"/>
      <c r="AK40" s="927"/>
      <c r="AL40" s="927"/>
      <c r="AM40" s="927"/>
      <c r="AN40" s="927"/>
      <c r="AO40" s="927"/>
      <c r="AP40" s="927"/>
      <c r="AQ40" s="927"/>
    </row>
    <row r="41" spans="1:43" s="104" customFormat="1" ht="0.15" customHeight="1">
      <c r="A41" s="927">
        <v>1</v>
      </c>
      <c r="B41" s="927"/>
      <c r="C41" s="927"/>
      <c r="D41" s="927"/>
      <c r="E41" s="927"/>
      <c r="F41" s="927">
        <v>2041</v>
      </c>
      <c r="G41" s="927" t="b">
        <v>0</v>
      </c>
      <c r="H41" s="927"/>
      <c r="I41" s="927"/>
      <c r="J41" s="927"/>
      <c r="K41" s="927"/>
      <c r="L41" s="1019" t="s">
        <v>3210</v>
      </c>
      <c r="M41" s="1023"/>
      <c r="N41" s="1024"/>
      <c r="O41" s="1023"/>
      <c r="P41" s="1025"/>
      <c r="Q41" s="1024"/>
      <c r="R41" s="1025"/>
      <c r="S41" s="1025"/>
      <c r="T41" s="1024"/>
      <c r="U41" s="1024"/>
      <c r="V41" s="1026"/>
      <c r="W41" s="927"/>
      <c r="X41" s="927"/>
      <c r="Y41" s="927"/>
      <c r="Z41" s="927"/>
      <c r="AA41" s="927"/>
      <c r="AB41" s="927"/>
      <c r="AC41" s="927"/>
      <c r="AD41" s="927"/>
      <c r="AE41" s="927"/>
      <c r="AF41" s="927"/>
      <c r="AG41" s="927"/>
      <c r="AH41" s="927"/>
      <c r="AI41" s="927"/>
      <c r="AJ41" s="927"/>
      <c r="AK41" s="927"/>
      <c r="AL41" s="927"/>
      <c r="AM41" s="927"/>
      <c r="AN41" s="927"/>
      <c r="AO41" s="927"/>
      <c r="AP41" s="927"/>
      <c r="AQ41" s="927"/>
    </row>
    <row r="42" spans="1:43" s="104" customFormat="1" ht="0.15" customHeight="1">
      <c r="A42" s="927">
        <v>1</v>
      </c>
      <c r="B42" s="927"/>
      <c r="C42" s="927"/>
      <c r="D42" s="927"/>
      <c r="E42" s="927"/>
      <c r="F42" s="927">
        <v>2042</v>
      </c>
      <c r="G42" s="927" t="b">
        <v>0</v>
      </c>
      <c r="H42" s="927"/>
      <c r="I42" s="927"/>
      <c r="J42" s="927"/>
      <c r="K42" s="927"/>
      <c r="L42" s="1019" t="s">
        <v>3211</v>
      </c>
      <c r="M42" s="1023"/>
      <c r="N42" s="1024"/>
      <c r="O42" s="1023"/>
      <c r="P42" s="1025"/>
      <c r="Q42" s="1024"/>
      <c r="R42" s="1025"/>
      <c r="S42" s="1025"/>
      <c r="T42" s="1024"/>
      <c r="U42" s="1024"/>
      <c r="V42" s="1026"/>
      <c r="W42" s="927"/>
      <c r="X42" s="927"/>
      <c r="Y42" s="927"/>
      <c r="Z42" s="927"/>
      <c r="AA42" s="927"/>
      <c r="AB42" s="927"/>
      <c r="AC42" s="927"/>
      <c r="AD42" s="927"/>
      <c r="AE42" s="927"/>
      <c r="AF42" s="927"/>
      <c r="AG42" s="927"/>
      <c r="AH42" s="927"/>
      <c r="AI42" s="927"/>
      <c r="AJ42" s="927"/>
      <c r="AK42" s="927"/>
      <c r="AL42" s="927"/>
      <c r="AM42" s="927"/>
      <c r="AN42" s="927"/>
      <c r="AO42" s="927"/>
      <c r="AP42" s="927"/>
      <c r="AQ42" s="927"/>
    </row>
    <row r="43" spans="1:43" s="104" customFormat="1" ht="0.15" customHeight="1">
      <c r="A43" s="927">
        <v>1</v>
      </c>
      <c r="B43" s="927"/>
      <c r="C43" s="927"/>
      <c r="D43" s="927"/>
      <c r="E43" s="927"/>
      <c r="F43" s="927">
        <v>2043</v>
      </c>
      <c r="G43" s="927" t="b">
        <v>0</v>
      </c>
      <c r="H43" s="927"/>
      <c r="I43" s="927"/>
      <c r="J43" s="927"/>
      <c r="K43" s="927"/>
      <c r="L43" s="1019" t="s">
        <v>3212</v>
      </c>
      <c r="M43" s="1023"/>
      <c r="N43" s="1024"/>
      <c r="O43" s="1023"/>
      <c r="P43" s="1025"/>
      <c r="Q43" s="1024"/>
      <c r="R43" s="1025"/>
      <c r="S43" s="1025"/>
      <c r="T43" s="1024"/>
      <c r="U43" s="1024"/>
      <c r="V43" s="1026"/>
      <c r="W43" s="927"/>
      <c r="X43" s="927"/>
      <c r="Y43" s="927"/>
      <c r="Z43" s="927"/>
      <c r="AA43" s="927"/>
      <c r="AB43" s="927"/>
      <c r="AC43" s="927"/>
      <c r="AD43" s="927"/>
      <c r="AE43" s="927"/>
      <c r="AF43" s="927"/>
      <c r="AG43" s="927"/>
      <c r="AH43" s="927"/>
      <c r="AI43" s="927"/>
      <c r="AJ43" s="927"/>
      <c r="AK43" s="927"/>
      <c r="AL43" s="927"/>
      <c r="AM43" s="927"/>
      <c r="AN43" s="927"/>
      <c r="AO43" s="927"/>
      <c r="AP43" s="927"/>
      <c r="AQ43" s="927"/>
    </row>
    <row r="44" spans="1:43" s="104" customFormat="1" ht="0.15" customHeight="1">
      <c r="A44" s="927">
        <v>1</v>
      </c>
      <c r="B44" s="927"/>
      <c r="C44" s="927"/>
      <c r="D44" s="927"/>
      <c r="E44" s="927"/>
      <c r="F44" s="927">
        <v>2044</v>
      </c>
      <c r="G44" s="927" t="b">
        <v>0</v>
      </c>
      <c r="H44" s="927"/>
      <c r="I44" s="927"/>
      <c r="J44" s="927"/>
      <c r="K44" s="927"/>
      <c r="L44" s="1019" t="s">
        <v>3213</v>
      </c>
      <c r="M44" s="1023"/>
      <c r="N44" s="1024"/>
      <c r="O44" s="1023"/>
      <c r="P44" s="1025"/>
      <c r="Q44" s="1024"/>
      <c r="R44" s="1025"/>
      <c r="S44" s="1025"/>
      <c r="T44" s="1024"/>
      <c r="U44" s="1024"/>
      <c r="V44" s="1026"/>
      <c r="W44" s="927"/>
      <c r="X44" s="927"/>
      <c r="Y44" s="927"/>
      <c r="Z44" s="927"/>
      <c r="AA44" s="927"/>
      <c r="AB44" s="927"/>
      <c r="AC44" s="927"/>
      <c r="AD44" s="927"/>
      <c r="AE44" s="927"/>
      <c r="AF44" s="927"/>
      <c r="AG44" s="927"/>
      <c r="AH44" s="927"/>
      <c r="AI44" s="927"/>
      <c r="AJ44" s="927"/>
      <c r="AK44" s="927"/>
      <c r="AL44" s="927"/>
      <c r="AM44" s="927"/>
      <c r="AN44" s="927"/>
      <c r="AO44" s="927"/>
      <c r="AP44" s="927"/>
      <c r="AQ44" s="927"/>
    </row>
    <row r="45" spans="1:43" s="104" customFormat="1" ht="0.15" customHeight="1">
      <c r="A45" s="927">
        <v>1</v>
      </c>
      <c r="B45" s="927"/>
      <c r="C45" s="927"/>
      <c r="D45" s="927"/>
      <c r="E45" s="927"/>
      <c r="F45" s="927">
        <v>2045</v>
      </c>
      <c r="G45" s="927" t="b">
        <v>0</v>
      </c>
      <c r="H45" s="927"/>
      <c r="I45" s="927"/>
      <c r="J45" s="927"/>
      <c r="K45" s="927"/>
      <c r="L45" s="1019" t="s">
        <v>3214</v>
      </c>
      <c r="M45" s="1023"/>
      <c r="N45" s="1024"/>
      <c r="O45" s="1023"/>
      <c r="P45" s="1025"/>
      <c r="Q45" s="1024"/>
      <c r="R45" s="1025"/>
      <c r="S45" s="1025"/>
      <c r="T45" s="1024"/>
      <c r="U45" s="1024"/>
      <c r="V45" s="1026"/>
      <c r="W45" s="927"/>
      <c r="X45" s="927"/>
      <c r="Y45" s="927"/>
      <c r="Z45" s="927"/>
      <c r="AA45" s="927"/>
      <c r="AB45" s="927"/>
      <c r="AC45" s="927"/>
      <c r="AD45" s="927"/>
      <c r="AE45" s="927"/>
      <c r="AF45" s="927"/>
      <c r="AG45" s="927"/>
      <c r="AH45" s="927"/>
      <c r="AI45" s="927"/>
      <c r="AJ45" s="927"/>
      <c r="AK45" s="927"/>
      <c r="AL45" s="927"/>
      <c r="AM45" s="927"/>
      <c r="AN45" s="927"/>
      <c r="AO45" s="927"/>
      <c r="AP45" s="927"/>
      <c r="AQ45" s="927"/>
    </row>
    <row r="46" spans="1:43" s="104" customFormat="1" ht="0.15" customHeight="1">
      <c r="A46" s="927">
        <v>1</v>
      </c>
      <c r="B46" s="927"/>
      <c r="C46" s="927"/>
      <c r="D46" s="927"/>
      <c r="E46" s="927"/>
      <c r="F46" s="927">
        <v>2046</v>
      </c>
      <c r="G46" s="927" t="b">
        <v>0</v>
      </c>
      <c r="H46" s="927"/>
      <c r="I46" s="927"/>
      <c r="J46" s="927"/>
      <c r="K46" s="927"/>
      <c r="L46" s="1019" t="s">
        <v>3215</v>
      </c>
      <c r="M46" s="1023"/>
      <c r="N46" s="1024"/>
      <c r="O46" s="1023"/>
      <c r="P46" s="1025"/>
      <c r="Q46" s="1024"/>
      <c r="R46" s="1025"/>
      <c r="S46" s="1025"/>
      <c r="T46" s="1024"/>
      <c r="U46" s="1024"/>
      <c r="V46" s="1026"/>
      <c r="W46" s="927"/>
      <c r="X46" s="927"/>
      <c r="Y46" s="927"/>
      <c r="Z46" s="927"/>
      <c r="AA46" s="927"/>
      <c r="AB46" s="927"/>
      <c r="AC46" s="927"/>
      <c r="AD46" s="927"/>
      <c r="AE46" s="927"/>
      <c r="AF46" s="927"/>
      <c r="AG46" s="927"/>
      <c r="AH46" s="927"/>
      <c r="AI46" s="927"/>
      <c r="AJ46" s="927"/>
      <c r="AK46" s="927"/>
      <c r="AL46" s="927"/>
      <c r="AM46" s="927"/>
      <c r="AN46" s="927"/>
      <c r="AO46" s="927"/>
      <c r="AP46" s="927"/>
      <c r="AQ46" s="927"/>
    </row>
    <row r="47" spans="1:43" s="104" customFormat="1" ht="0.15" customHeight="1">
      <c r="A47" s="927">
        <v>1</v>
      </c>
      <c r="B47" s="927"/>
      <c r="C47" s="927"/>
      <c r="D47" s="927"/>
      <c r="E47" s="927"/>
      <c r="F47" s="927">
        <v>2047</v>
      </c>
      <c r="G47" s="927" t="b">
        <v>0</v>
      </c>
      <c r="H47" s="927"/>
      <c r="I47" s="927"/>
      <c r="J47" s="927"/>
      <c r="K47" s="927"/>
      <c r="L47" s="1019" t="s">
        <v>3216</v>
      </c>
      <c r="M47" s="1023"/>
      <c r="N47" s="1024"/>
      <c r="O47" s="1023"/>
      <c r="P47" s="1025"/>
      <c r="Q47" s="1024"/>
      <c r="R47" s="1025"/>
      <c r="S47" s="1025"/>
      <c r="T47" s="1024"/>
      <c r="U47" s="1024"/>
      <c r="V47" s="1026"/>
      <c r="W47" s="927"/>
      <c r="X47" s="927"/>
      <c r="Y47" s="927"/>
      <c r="Z47" s="927"/>
      <c r="AA47" s="927"/>
      <c r="AB47" s="927"/>
      <c r="AC47" s="927"/>
      <c r="AD47" s="927"/>
      <c r="AE47" s="927"/>
      <c r="AF47" s="927"/>
      <c r="AG47" s="927"/>
      <c r="AH47" s="927"/>
      <c r="AI47" s="927"/>
      <c r="AJ47" s="927"/>
      <c r="AK47" s="927"/>
      <c r="AL47" s="927"/>
      <c r="AM47" s="927"/>
      <c r="AN47" s="927"/>
      <c r="AO47" s="927"/>
      <c r="AP47" s="927"/>
      <c r="AQ47" s="927"/>
    </row>
    <row r="48" spans="1:43" s="104" customFormat="1" ht="0.15" customHeight="1">
      <c r="A48" s="927">
        <v>1</v>
      </c>
      <c r="B48" s="927"/>
      <c r="C48" s="927"/>
      <c r="D48" s="927"/>
      <c r="E48" s="927"/>
      <c r="F48" s="927">
        <v>2048</v>
      </c>
      <c r="G48" s="927" t="b">
        <v>0</v>
      </c>
      <c r="H48" s="927"/>
      <c r="I48" s="927"/>
      <c r="J48" s="927"/>
      <c r="K48" s="927"/>
      <c r="L48" s="1019" t="s">
        <v>3217</v>
      </c>
      <c r="M48" s="1023"/>
      <c r="N48" s="1024"/>
      <c r="O48" s="1023"/>
      <c r="P48" s="1025"/>
      <c r="Q48" s="1024"/>
      <c r="R48" s="1025"/>
      <c r="S48" s="1025"/>
      <c r="T48" s="1024"/>
      <c r="U48" s="1024"/>
      <c r="V48" s="1026"/>
      <c r="W48" s="927"/>
      <c r="X48" s="927"/>
      <c r="Y48" s="927"/>
      <c r="Z48" s="927"/>
      <c r="AA48" s="927"/>
      <c r="AB48" s="927"/>
      <c r="AC48" s="927"/>
      <c r="AD48" s="927"/>
      <c r="AE48" s="927"/>
      <c r="AF48" s="927"/>
      <c r="AG48" s="927"/>
      <c r="AH48" s="927"/>
      <c r="AI48" s="927"/>
      <c r="AJ48" s="927"/>
      <c r="AK48" s="927"/>
      <c r="AL48" s="927"/>
      <c r="AM48" s="927"/>
      <c r="AN48" s="927"/>
      <c r="AO48" s="927"/>
      <c r="AP48" s="927"/>
      <c r="AQ48" s="927"/>
    </row>
    <row r="49" spans="1:43" s="104" customFormat="1" ht="0.15" customHeight="1">
      <c r="A49" s="927">
        <v>1</v>
      </c>
      <c r="B49" s="927"/>
      <c r="C49" s="927"/>
      <c r="D49" s="927"/>
      <c r="E49" s="927"/>
      <c r="F49" s="927">
        <v>2049</v>
      </c>
      <c r="G49" s="927" t="b">
        <v>0</v>
      </c>
      <c r="H49" s="927"/>
      <c r="I49" s="927"/>
      <c r="J49" s="927"/>
      <c r="K49" s="927"/>
      <c r="L49" s="1019" t="s">
        <v>3218</v>
      </c>
      <c r="M49" s="1023"/>
      <c r="N49" s="1024"/>
      <c r="O49" s="1023"/>
      <c r="P49" s="1025"/>
      <c r="Q49" s="1024"/>
      <c r="R49" s="1025"/>
      <c r="S49" s="1025"/>
      <c r="T49" s="1024"/>
      <c r="U49" s="1024"/>
      <c r="V49" s="1026"/>
      <c r="W49" s="927"/>
      <c r="X49" s="927"/>
      <c r="Y49" s="927"/>
      <c r="Z49" s="927"/>
      <c r="AA49" s="927"/>
      <c r="AB49" s="927"/>
      <c r="AC49" s="927"/>
      <c r="AD49" s="927"/>
      <c r="AE49" s="927"/>
      <c r="AF49" s="927"/>
      <c r="AG49" s="927"/>
      <c r="AH49" s="927"/>
      <c r="AI49" s="927"/>
      <c r="AJ49" s="927"/>
      <c r="AK49" s="927"/>
      <c r="AL49" s="927"/>
      <c r="AM49" s="927"/>
      <c r="AN49" s="927"/>
      <c r="AO49" s="927"/>
      <c r="AP49" s="927"/>
      <c r="AQ49" s="927"/>
    </row>
    <row r="50" spans="1:43" s="104" customFormat="1" ht="0.15" customHeight="1">
      <c r="A50" s="927">
        <v>1</v>
      </c>
      <c r="B50" s="927"/>
      <c r="C50" s="927"/>
      <c r="D50" s="927"/>
      <c r="E50" s="927"/>
      <c r="F50" s="927">
        <v>2050</v>
      </c>
      <c r="G50" s="927" t="b">
        <v>0</v>
      </c>
      <c r="H50" s="927"/>
      <c r="I50" s="927"/>
      <c r="J50" s="927"/>
      <c r="K50" s="927"/>
      <c r="L50" s="1019" t="s">
        <v>3219</v>
      </c>
      <c r="M50" s="1023"/>
      <c r="N50" s="1024"/>
      <c r="O50" s="1023"/>
      <c r="P50" s="1025"/>
      <c r="Q50" s="1024"/>
      <c r="R50" s="1025"/>
      <c r="S50" s="1025"/>
      <c r="T50" s="1024"/>
      <c r="U50" s="1024"/>
      <c r="V50" s="1026"/>
      <c r="W50" s="927"/>
      <c r="X50" s="927"/>
      <c r="Y50" s="927"/>
      <c r="Z50" s="927"/>
      <c r="AA50" s="927"/>
      <c r="AB50" s="927"/>
      <c r="AC50" s="927"/>
      <c r="AD50" s="927"/>
      <c r="AE50" s="927"/>
      <c r="AF50" s="927"/>
      <c r="AG50" s="927"/>
      <c r="AH50" s="927"/>
      <c r="AI50" s="927"/>
      <c r="AJ50" s="927"/>
      <c r="AK50" s="927"/>
      <c r="AL50" s="927"/>
      <c r="AM50" s="927"/>
      <c r="AN50" s="927"/>
      <c r="AO50" s="927"/>
      <c r="AP50" s="927"/>
      <c r="AQ50" s="927"/>
    </row>
    <row r="51" spans="1:43" s="104" customFormat="1" ht="0.15" customHeight="1">
      <c r="A51" s="927">
        <v>1</v>
      </c>
      <c r="B51" s="927"/>
      <c r="C51" s="927"/>
      <c r="D51" s="927"/>
      <c r="E51" s="927"/>
      <c r="F51" s="927">
        <v>2051</v>
      </c>
      <c r="G51" s="927" t="b">
        <v>0</v>
      </c>
      <c r="H51" s="927"/>
      <c r="I51" s="927"/>
      <c r="J51" s="927"/>
      <c r="K51" s="927"/>
      <c r="L51" s="1019" t="s">
        <v>3220</v>
      </c>
      <c r="M51" s="1023"/>
      <c r="N51" s="1024"/>
      <c r="O51" s="1023"/>
      <c r="P51" s="1025"/>
      <c r="Q51" s="1024"/>
      <c r="R51" s="1025"/>
      <c r="S51" s="1025"/>
      <c r="T51" s="1024"/>
      <c r="U51" s="1024"/>
      <c r="V51" s="1026"/>
      <c r="W51" s="927"/>
      <c r="X51" s="927"/>
      <c r="Y51" s="927"/>
      <c r="Z51" s="927"/>
      <c r="AA51" s="927"/>
      <c r="AB51" s="927"/>
      <c r="AC51" s="927"/>
      <c r="AD51" s="927"/>
      <c r="AE51" s="927"/>
      <c r="AF51" s="927"/>
      <c r="AG51" s="927"/>
      <c r="AH51" s="927"/>
      <c r="AI51" s="927"/>
      <c r="AJ51" s="927"/>
      <c r="AK51" s="927"/>
      <c r="AL51" s="927"/>
      <c r="AM51" s="927"/>
      <c r="AN51" s="927"/>
      <c r="AO51" s="927"/>
      <c r="AP51" s="927"/>
      <c r="AQ51" s="927"/>
    </row>
    <row r="52" spans="1:43" s="104" customFormat="1" ht="0.15" customHeight="1">
      <c r="A52" s="927">
        <v>1</v>
      </c>
      <c r="B52" s="927"/>
      <c r="C52" s="927"/>
      <c r="D52" s="927"/>
      <c r="E52" s="927"/>
      <c r="F52" s="927">
        <v>2052</v>
      </c>
      <c r="G52" s="927" t="b">
        <v>0</v>
      </c>
      <c r="H52" s="927"/>
      <c r="I52" s="927"/>
      <c r="J52" s="927"/>
      <c r="K52" s="927"/>
      <c r="L52" s="1019" t="s">
        <v>3221</v>
      </c>
      <c r="M52" s="1023"/>
      <c r="N52" s="1024"/>
      <c r="O52" s="1023"/>
      <c r="P52" s="1025"/>
      <c r="Q52" s="1024"/>
      <c r="R52" s="1025"/>
      <c r="S52" s="1025"/>
      <c r="T52" s="1024"/>
      <c r="U52" s="1024"/>
      <c r="V52" s="1026"/>
      <c r="W52" s="927"/>
      <c r="X52" s="927"/>
      <c r="Y52" s="927"/>
      <c r="Z52" s="927"/>
      <c r="AA52" s="927"/>
      <c r="AB52" s="927"/>
      <c r="AC52" s="927"/>
      <c r="AD52" s="927"/>
      <c r="AE52" s="927"/>
      <c r="AF52" s="927"/>
      <c r="AG52" s="927"/>
      <c r="AH52" s="927"/>
      <c r="AI52" s="927"/>
      <c r="AJ52" s="927"/>
      <c r="AK52" s="927"/>
      <c r="AL52" s="927"/>
      <c r="AM52" s="927"/>
      <c r="AN52" s="927"/>
      <c r="AO52" s="927"/>
      <c r="AP52" s="927"/>
      <c r="AQ52" s="927"/>
    </row>
    <row r="53" spans="1:43" s="104" customFormat="1" ht="0.15" customHeight="1">
      <c r="A53" s="927">
        <v>1</v>
      </c>
      <c r="B53" s="927"/>
      <c r="C53" s="927"/>
      <c r="D53" s="927"/>
      <c r="E53" s="927"/>
      <c r="F53" s="927">
        <v>2053</v>
      </c>
      <c r="G53" s="927" t="b">
        <v>0</v>
      </c>
      <c r="H53" s="927"/>
      <c r="I53" s="927"/>
      <c r="J53" s="927"/>
      <c r="K53" s="927"/>
      <c r="L53" s="1019" t="s">
        <v>3222</v>
      </c>
      <c r="M53" s="1023"/>
      <c r="N53" s="1024"/>
      <c r="O53" s="1023"/>
      <c r="P53" s="1025"/>
      <c r="Q53" s="1024"/>
      <c r="R53" s="1025"/>
      <c r="S53" s="1025"/>
      <c r="T53" s="1024"/>
      <c r="U53" s="1024"/>
      <c r="V53" s="1026"/>
      <c r="W53" s="927"/>
      <c r="X53" s="927"/>
      <c r="Y53" s="927"/>
      <c r="Z53" s="927"/>
      <c r="AA53" s="927"/>
      <c r="AB53" s="927"/>
      <c r="AC53" s="927"/>
      <c r="AD53" s="927"/>
      <c r="AE53" s="927"/>
      <c r="AF53" s="927"/>
      <c r="AG53" s="927"/>
      <c r="AH53" s="927"/>
      <c r="AI53" s="927"/>
      <c r="AJ53" s="927"/>
      <c r="AK53" s="927"/>
      <c r="AL53" s="927"/>
      <c r="AM53" s="927"/>
      <c r="AN53" s="927"/>
      <c r="AO53" s="927"/>
      <c r="AP53" s="927"/>
      <c r="AQ53" s="927"/>
    </row>
    <row r="54" spans="1:43" s="104" customFormat="1" ht="0.15" customHeight="1">
      <c r="A54" s="927">
        <v>1</v>
      </c>
      <c r="B54" s="927"/>
      <c r="C54" s="927"/>
      <c r="D54" s="927"/>
      <c r="E54" s="927"/>
      <c r="F54" s="927">
        <v>2054</v>
      </c>
      <c r="G54" s="927" t="b">
        <v>0</v>
      </c>
      <c r="H54" s="927"/>
      <c r="I54" s="927"/>
      <c r="J54" s="927"/>
      <c r="K54" s="927"/>
      <c r="L54" s="1019" t="s">
        <v>3223</v>
      </c>
      <c r="M54" s="1023"/>
      <c r="N54" s="1024"/>
      <c r="O54" s="1023"/>
      <c r="P54" s="1025"/>
      <c r="Q54" s="1024"/>
      <c r="R54" s="1025"/>
      <c r="S54" s="1025"/>
      <c r="T54" s="1024"/>
      <c r="U54" s="1024"/>
      <c r="V54" s="1026"/>
      <c r="W54" s="927"/>
      <c r="X54" s="927"/>
      <c r="Y54" s="927"/>
      <c r="Z54" s="927"/>
      <c r="AA54" s="927"/>
      <c r="AB54" s="927"/>
      <c r="AC54" s="927"/>
      <c r="AD54" s="927"/>
      <c r="AE54" s="927"/>
      <c r="AF54" s="927"/>
      <c r="AG54" s="927"/>
      <c r="AH54" s="927"/>
      <c r="AI54" s="927"/>
      <c r="AJ54" s="927"/>
      <c r="AK54" s="927"/>
      <c r="AL54" s="927"/>
      <c r="AM54" s="927"/>
      <c r="AN54" s="927"/>
      <c r="AO54" s="927"/>
      <c r="AP54" s="927"/>
      <c r="AQ54" s="927"/>
    </row>
    <row r="55" spans="1:43" s="104" customFormat="1" ht="0.15" customHeight="1">
      <c r="A55" s="927">
        <v>1</v>
      </c>
      <c r="B55" s="927"/>
      <c r="C55" s="927"/>
      <c r="D55" s="927"/>
      <c r="E55" s="927"/>
      <c r="F55" s="927">
        <v>2055</v>
      </c>
      <c r="G55" s="927" t="b">
        <v>0</v>
      </c>
      <c r="H55" s="927"/>
      <c r="I55" s="927"/>
      <c r="J55" s="927"/>
      <c r="K55" s="927"/>
      <c r="L55" s="1019" t="s">
        <v>3224</v>
      </c>
      <c r="M55" s="1023"/>
      <c r="N55" s="1024"/>
      <c r="O55" s="1023"/>
      <c r="P55" s="1025"/>
      <c r="Q55" s="1024"/>
      <c r="R55" s="1025"/>
      <c r="S55" s="1025"/>
      <c r="T55" s="1024"/>
      <c r="U55" s="1024"/>
      <c r="V55" s="1026"/>
      <c r="W55" s="927"/>
      <c r="X55" s="927"/>
      <c r="Y55" s="927"/>
      <c r="Z55" s="927"/>
      <c r="AA55" s="927"/>
      <c r="AB55" s="927"/>
      <c r="AC55" s="927"/>
      <c r="AD55" s="927"/>
      <c r="AE55" s="927"/>
      <c r="AF55" s="927"/>
      <c r="AG55" s="927"/>
      <c r="AH55" s="927"/>
      <c r="AI55" s="927"/>
      <c r="AJ55" s="927"/>
      <c r="AK55" s="927"/>
      <c r="AL55" s="927"/>
      <c r="AM55" s="927"/>
      <c r="AN55" s="927"/>
      <c r="AO55" s="927"/>
      <c r="AP55" s="927"/>
      <c r="AQ55" s="927"/>
    </row>
    <row r="56" spans="1:43" s="104" customFormat="1" ht="0.15" customHeight="1">
      <c r="A56" s="927">
        <v>1</v>
      </c>
      <c r="B56" s="927"/>
      <c r="C56" s="927"/>
      <c r="D56" s="927"/>
      <c r="E56" s="927"/>
      <c r="F56" s="927">
        <v>2056</v>
      </c>
      <c r="G56" s="927" t="b">
        <v>0</v>
      </c>
      <c r="H56" s="927"/>
      <c r="I56" s="927"/>
      <c r="J56" s="927"/>
      <c r="K56" s="927"/>
      <c r="L56" s="1019" t="s">
        <v>3225</v>
      </c>
      <c r="M56" s="1023"/>
      <c r="N56" s="1024"/>
      <c r="O56" s="1023"/>
      <c r="P56" s="1025"/>
      <c r="Q56" s="1024"/>
      <c r="R56" s="1025"/>
      <c r="S56" s="1025"/>
      <c r="T56" s="1024"/>
      <c r="U56" s="1024"/>
      <c r="V56" s="1026"/>
      <c r="W56" s="927"/>
      <c r="X56" s="927"/>
      <c r="Y56" s="927"/>
      <c r="Z56" s="927"/>
      <c r="AA56" s="927"/>
      <c r="AB56" s="927"/>
      <c r="AC56" s="927"/>
      <c r="AD56" s="927"/>
      <c r="AE56" s="927"/>
      <c r="AF56" s="927"/>
      <c r="AG56" s="927"/>
      <c r="AH56" s="927"/>
      <c r="AI56" s="927"/>
      <c r="AJ56" s="927"/>
      <c r="AK56" s="927"/>
      <c r="AL56" s="927"/>
      <c r="AM56" s="927"/>
      <c r="AN56" s="927"/>
      <c r="AO56" s="927"/>
      <c r="AP56" s="927"/>
      <c r="AQ56" s="927"/>
    </row>
    <row r="57" spans="1:43" s="104" customFormat="1" ht="0.15" customHeight="1">
      <c r="A57" s="927">
        <v>1</v>
      </c>
      <c r="B57" s="927"/>
      <c r="C57" s="927"/>
      <c r="D57" s="927"/>
      <c r="E57" s="927"/>
      <c r="F57" s="927">
        <v>2057</v>
      </c>
      <c r="G57" s="927" t="b">
        <v>0</v>
      </c>
      <c r="H57" s="927"/>
      <c r="I57" s="927"/>
      <c r="J57" s="927"/>
      <c r="K57" s="927"/>
      <c r="L57" s="1019" t="s">
        <v>3226</v>
      </c>
      <c r="M57" s="1023"/>
      <c r="N57" s="1024"/>
      <c r="O57" s="1023"/>
      <c r="P57" s="1025"/>
      <c r="Q57" s="1024"/>
      <c r="R57" s="1025"/>
      <c r="S57" s="1025"/>
      <c r="T57" s="1024"/>
      <c r="U57" s="1024"/>
      <c r="V57" s="1026"/>
      <c r="W57" s="927"/>
      <c r="X57" s="927"/>
      <c r="Y57" s="927"/>
      <c r="Z57" s="927"/>
      <c r="AA57" s="927"/>
      <c r="AB57" s="927"/>
      <c r="AC57" s="927"/>
      <c r="AD57" s="927"/>
      <c r="AE57" s="927"/>
      <c r="AF57" s="927"/>
      <c r="AG57" s="927"/>
      <c r="AH57" s="927"/>
      <c r="AI57" s="927"/>
      <c r="AJ57" s="927"/>
      <c r="AK57" s="927"/>
      <c r="AL57" s="927"/>
      <c r="AM57" s="927"/>
      <c r="AN57" s="927"/>
      <c r="AO57" s="927"/>
      <c r="AP57" s="927"/>
      <c r="AQ57" s="927"/>
    </row>
    <row r="58" spans="1:43" s="104" customFormat="1" ht="0.15" customHeight="1">
      <c r="A58" s="927">
        <v>1</v>
      </c>
      <c r="B58" s="927"/>
      <c r="C58" s="927"/>
      <c r="D58" s="927"/>
      <c r="E58" s="927"/>
      <c r="F58" s="927">
        <v>2058</v>
      </c>
      <c r="G58" s="927" t="b">
        <v>0</v>
      </c>
      <c r="H58" s="927"/>
      <c r="I58" s="927"/>
      <c r="J58" s="927"/>
      <c r="K58" s="927"/>
      <c r="L58" s="1019" t="s">
        <v>3227</v>
      </c>
      <c r="M58" s="1023"/>
      <c r="N58" s="1024"/>
      <c r="O58" s="1023"/>
      <c r="P58" s="1025"/>
      <c r="Q58" s="1024"/>
      <c r="R58" s="1025"/>
      <c r="S58" s="1025"/>
      <c r="T58" s="1024"/>
      <c r="U58" s="1024"/>
      <c r="V58" s="1026"/>
      <c r="W58" s="927"/>
      <c r="X58" s="927"/>
      <c r="Y58" s="927"/>
      <c r="Z58" s="927"/>
      <c r="AA58" s="927"/>
      <c r="AB58" s="927"/>
      <c r="AC58" s="927"/>
      <c r="AD58" s="927"/>
      <c r="AE58" s="927"/>
      <c r="AF58" s="927"/>
      <c r="AG58" s="927"/>
      <c r="AH58" s="927"/>
      <c r="AI58" s="927"/>
      <c r="AJ58" s="927"/>
      <c r="AK58" s="927"/>
      <c r="AL58" s="927"/>
      <c r="AM58" s="927"/>
      <c r="AN58" s="927"/>
      <c r="AO58" s="927"/>
      <c r="AP58" s="927"/>
      <c r="AQ58" s="927"/>
    </row>
    <row r="59" spans="1:43" s="104" customFormat="1" ht="0.15" customHeight="1">
      <c r="A59" s="927">
        <v>1</v>
      </c>
      <c r="B59" s="927"/>
      <c r="C59" s="927"/>
      <c r="D59" s="927"/>
      <c r="E59" s="927"/>
      <c r="F59" s="927">
        <v>2059</v>
      </c>
      <c r="G59" s="927" t="b">
        <v>0</v>
      </c>
      <c r="H59" s="927"/>
      <c r="I59" s="927"/>
      <c r="J59" s="927"/>
      <c r="K59" s="927"/>
      <c r="L59" s="1019" t="s">
        <v>3228</v>
      </c>
      <c r="M59" s="1023"/>
      <c r="N59" s="1024"/>
      <c r="O59" s="1023"/>
      <c r="P59" s="1025"/>
      <c r="Q59" s="1024"/>
      <c r="R59" s="1025"/>
      <c r="S59" s="1025"/>
      <c r="T59" s="1024"/>
      <c r="U59" s="1024"/>
      <c r="V59" s="1026"/>
      <c r="W59" s="927"/>
      <c r="X59" s="927"/>
      <c r="Y59" s="927"/>
      <c r="Z59" s="927"/>
      <c r="AA59" s="927"/>
      <c r="AB59" s="927"/>
      <c r="AC59" s="927"/>
      <c r="AD59" s="927"/>
      <c r="AE59" s="927"/>
      <c r="AF59" s="927"/>
      <c r="AG59" s="927"/>
      <c r="AH59" s="927"/>
      <c r="AI59" s="927"/>
      <c r="AJ59" s="927"/>
      <c r="AK59" s="927"/>
      <c r="AL59" s="927"/>
      <c r="AM59" s="927"/>
      <c r="AN59" s="927"/>
      <c r="AO59" s="927"/>
      <c r="AP59" s="927"/>
      <c r="AQ59" s="927"/>
    </row>
    <row r="60" spans="1:43" s="104" customFormat="1" ht="0.15" customHeight="1">
      <c r="A60" s="927">
        <v>1</v>
      </c>
      <c r="B60" s="927"/>
      <c r="C60" s="927"/>
      <c r="D60" s="927"/>
      <c r="E60" s="927"/>
      <c r="F60" s="927">
        <v>2060</v>
      </c>
      <c r="G60" s="927" t="b">
        <v>0</v>
      </c>
      <c r="H60" s="927"/>
      <c r="I60" s="927"/>
      <c r="J60" s="927"/>
      <c r="K60" s="927"/>
      <c r="L60" s="1019" t="s">
        <v>3229</v>
      </c>
      <c r="M60" s="1023"/>
      <c r="N60" s="1024"/>
      <c r="O60" s="1023"/>
      <c r="P60" s="1025"/>
      <c r="Q60" s="1024"/>
      <c r="R60" s="1025"/>
      <c r="S60" s="1025"/>
      <c r="T60" s="1024"/>
      <c r="U60" s="1024"/>
      <c r="V60" s="1026"/>
      <c r="W60" s="927"/>
      <c r="X60" s="927"/>
      <c r="Y60" s="927"/>
      <c r="Z60" s="927"/>
      <c r="AA60" s="927"/>
      <c r="AB60" s="927"/>
      <c r="AC60" s="927"/>
      <c r="AD60" s="927"/>
      <c r="AE60" s="927"/>
      <c r="AF60" s="927"/>
      <c r="AG60" s="927"/>
      <c r="AH60" s="927"/>
      <c r="AI60" s="927"/>
      <c r="AJ60" s="927"/>
      <c r="AK60" s="927"/>
      <c r="AL60" s="927"/>
      <c r="AM60" s="927"/>
      <c r="AN60" s="927"/>
      <c r="AO60" s="927"/>
      <c r="AP60" s="927"/>
      <c r="AQ60" s="927"/>
    </row>
    <row r="61" spans="1:43" s="104" customFormat="1" ht="0.15" customHeight="1">
      <c r="A61" s="927">
        <v>1</v>
      </c>
      <c r="B61" s="927"/>
      <c r="C61" s="927"/>
      <c r="D61" s="927"/>
      <c r="E61" s="927"/>
      <c r="F61" s="927">
        <v>2061</v>
      </c>
      <c r="G61" s="927" t="b">
        <v>0</v>
      </c>
      <c r="H61" s="927"/>
      <c r="I61" s="927"/>
      <c r="J61" s="927"/>
      <c r="K61" s="927"/>
      <c r="L61" s="1019" t="s">
        <v>3230</v>
      </c>
      <c r="M61" s="1023"/>
      <c r="N61" s="1024"/>
      <c r="O61" s="1023"/>
      <c r="P61" s="1025"/>
      <c r="Q61" s="1024"/>
      <c r="R61" s="1025"/>
      <c r="S61" s="1025"/>
      <c r="T61" s="1024"/>
      <c r="U61" s="1024"/>
      <c r="V61" s="1026"/>
      <c r="W61" s="927"/>
      <c r="X61" s="927"/>
      <c r="Y61" s="927"/>
      <c r="Z61" s="927"/>
      <c r="AA61" s="927"/>
      <c r="AB61" s="927"/>
      <c r="AC61" s="927"/>
      <c r="AD61" s="927"/>
      <c r="AE61" s="927"/>
      <c r="AF61" s="927"/>
      <c r="AG61" s="927"/>
      <c r="AH61" s="927"/>
      <c r="AI61" s="927"/>
      <c r="AJ61" s="927"/>
      <c r="AK61" s="927"/>
      <c r="AL61" s="927"/>
      <c r="AM61" s="927"/>
      <c r="AN61" s="927"/>
      <c r="AO61" s="927"/>
      <c r="AP61" s="927"/>
      <c r="AQ61" s="927"/>
    </row>
    <row r="62" spans="1:43" s="104" customFormat="1" ht="0.15" customHeight="1">
      <c r="A62" s="927">
        <v>1</v>
      </c>
      <c r="B62" s="927"/>
      <c r="C62" s="927"/>
      <c r="D62" s="927"/>
      <c r="E62" s="927"/>
      <c r="F62" s="927">
        <v>2062</v>
      </c>
      <c r="G62" s="927" t="b">
        <v>0</v>
      </c>
      <c r="H62" s="927"/>
      <c r="I62" s="927"/>
      <c r="J62" s="927"/>
      <c r="K62" s="927"/>
      <c r="L62" s="1019" t="s">
        <v>3231</v>
      </c>
      <c r="M62" s="1023"/>
      <c r="N62" s="1024"/>
      <c r="O62" s="1023"/>
      <c r="P62" s="1025"/>
      <c r="Q62" s="1024"/>
      <c r="R62" s="1025"/>
      <c r="S62" s="1025"/>
      <c r="T62" s="1024"/>
      <c r="U62" s="1024"/>
      <c r="V62" s="1026"/>
      <c r="W62" s="927"/>
      <c r="X62" s="927"/>
      <c r="Y62" s="927"/>
      <c r="Z62" s="927"/>
      <c r="AA62" s="927"/>
      <c r="AB62" s="927"/>
      <c r="AC62" s="927"/>
      <c r="AD62" s="927"/>
      <c r="AE62" s="927"/>
      <c r="AF62" s="927"/>
      <c r="AG62" s="927"/>
      <c r="AH62" s="927"/>
      <c r="AI62" s="927"/>
      <c r="AJ62" s="927"/>
      <c r="AK62" s="927"/>
      <c r="AL62" s="927"/>
      <c r="AM62" s="927"/>
      <c r="AN62" s="927"/>
      <c r="AO62" s="927"/>
      <c r="AP62" s="927"/>
      <c r="AQ62" s="927"/>
    </row>
    <row r="63" spans="1:43" s="104" customFormat="1" ht="0.15" customHeight="1">
      <c r="A63" s="927">
        <v>1</v>
      </c>
      <c r="B63" s="927"/>
      <c r="C63" s="927"/>
      <c r="D63" s="927"/>
      <c r="E63" s="927"/>
      <c r="F63" s="927">
        <v>2063</v>
      </c>
      <c r="G63" s="927" t="b">
        <v>0</v>
      </c>
      <c r="H63" s="927"/>
      <c r="I63" s="927"/>
      <c r="J63" s="927"/>
      <c r="K63" s="927"/>
      <c r="L63" s="1019" t="s">
        <v>3232</v>
      </c>
      <c r="M63" s="1023"/>
      <c r="N63" s="1024"/>
      <c r="O63" s="1023"/>
      <c r="P63" s="1025"/>
      <c r="Q63" s="1024"/>
      <c r="R63" s="1025"/>
      <c r="S63" s="1025"/>
      <c r="T63" s="1024"/>
      <c r="U63" s="1024"/>
      <c r="V63" s="1026"/>
      <c r="W63" s="927"/>
      <c r="X63" s="927"/>
      <c r="Y63" s="927"/>
      <c r="Z63" s="927"/>
      <c r="AA63" s="927"/>
      <c r="AB63" s="927"/>
      <c r="AC63" s="927"/>
      <c r="AD63" s="927"/>
      <c r="AE63" s="927"/>
      <c r="AF63" s="927"/>
      <c r="AG63" s="927"/>
      <c r="AH63" s="927"/>
      <c r="AI63" s="927"/>
      <c r="AJ63" s="927"/>
      <c r="AK63" s="927"/>
      <c r="AL63" s="927"/>
      <c r="AM63" s="927"/>
      <c r="AN63" s="927"/>
      <c r="AO63" s="927"/>
      <c r="AP63" s="927"/>
      <c r="AQ63" s="927"/>
    </row>
    <row r="64" spans="1:43" s="104" customFormat="1" ht="0.15" customHeight="1">
      <c r="A64" s="927">
        <v>1</v>
      </c>
      <c r="B64" s="927"/>
      <c r="C64" s="927"/>
      <c r="D64" s="927"/>
      <c r="E64" s="927"/>
      <c r="F64" s="927">
        <v>2064</v>
      </c>
      <c r="G64" s="927" t="b">
        <v>0</v>
      </c>
      <c r="H64" s="927"/>
      <c r="I64" s="927"/>
      <c r="J64" s="927"/>
      <c r="K64" s="927"/>
      <c r="L64" s="1019" t="s">
        <v>3233</v>
      </c>
      <c r="M64" s="1023"/>
      <c r="N64" s="1024"/>
      <c r="O64" s="1023"/>
      <c r="P64" s="1025"/>
      <c r="Q64" s="1024"/>
      <c r="R64" s="1025"/>
      <c r="S64" s="1025"/>
      <c r="T64" s="1024"/>
      <c r="U64" s="1024"/>
      <c r="V64" s="1026"/>
      <c r="W64" s="927"/>
      <c r="X64" s="927"/>
      <c r="Y64" s="927"/>
      <c r="Z64" s="927"/>
      <c r="AA64" s="927"/>
      <c r="AB64" s="927"/>
      <c r="AC64" s="927"/>
      <c r="AD64" s="927"/>
      <c r="AE64" s="927"/>
      <c r="AF64" s="927"/>
      <c r="AG64" s="927"/>
      <c r="AH64" s="927"/>
      <c r="AI64" s="927"/>
      <c r="AJ64" s="927"/>
      <c r="AK64" s="927"/>
      <c r="AL64" s="927"/>
      <c r="AM64" s="927"/>
      <c r="AN64" s="927"/>
      <c r="AO64" s="927"/>
      <c r="AP64" s="927"/>
      <c r="AQ64" s="927"/>
    </row>
    <row r="65" spans="1:43" s="104" customFormat="1" ht="0.15" customHeight="1">
      <c r="A65" s="927">
        <v>1</v>
      </c>
      <c r="B65" s="927"/>
      <c r="C65" s="927"/>
      <c r="D65" s="927"/>
      <c r="E65" s="927"/>
      <c r="F65" s="927">
        <v>2065</v>
      </c>
      <c r="G65" s="927" t="b">
        <v>0</v>
      </c>
      <c r="H65" s="927"/>
      <c r="I65" s="927"/>
      <c r="J65" s="927"/>
      <c r="K65" s="927"/>
      <c r="L65" s="1019" t="s">
        <v>3234</v>
      </c>
      <c r="M65" s="1023"/>
      <c r="N65" s="1024"/>
      <c r="O65" s="1023"/>
      <c r="P65" s="1025"/>
      <c r="Q65" s="1024"/>
      <c r="R65" s="1025"/>
      <c r="S65" s="1025"/>
      <c r="T65" s="1024"/>
      <c r="U65" s="1024"/>
      <c r="V65" s="1026"/>
      <c r="W65" s="927"/>
      <c r="X65" s="927"/>
      <c r="Y65" s="927"/>
      <c r="Z65" s="927"/>
      <c r="AA65" s="927"/>
      <c r="AB65" s="927"/>
      <c r="AC65" s="927"/>
      <c r="AD65" s="927"/>
      <c r="AE65" s="927"/>
      <c r="AF65" s="927"/>
      <c r="AG65" s="927"/>
      <c r="AH65" s="927"/>
      <c r="AI65" s="927"/>
      <c r="AJ65" s="927"/>
      <c r="AK65" s="927"/>
      <c r="AL65" s="927"/>
      <c r="AM65" s="927"/>
      <c r="AN65" s="927"/>
      <c r="AO65" s="927"/>
      <c r="AP65" s="927"/>
      <c r="AQ65" s="927"/>
    </row>
    <row r="66" spans="1:43" s="104" customFormat="1" ht="0.15" customHeight="1">
      <c r="A66" s="927">
        <v>1</v>
      </c>
      <c r="B66" s="927"/>
      <c r="C66" s="927"/>
      <c r="D66" s="927"/>
      <c r="E66" s="927"/>
      <c r="F66" s="927">
        <v>2066</v>
      </c>
      <c r="G66" s="927" t="b">
        <v>0</v>
      </c>
      <c r="H66" s="927"/>
      <c r="I66" s="927"/>
      <c r="J66" s="927"/>
      <c r="K66" s="927"/>
      <c r="L66" s="1019" t="s">
        <v>3235</v>
      </c>
      <c r="M66" s="1023"/>
      <c r="N66" s="1024"/>
      <c r="O66" s="1023"/>
      <c r="P66" s="1025"/>
      <c r="Q66" s="1024"/>
      <c r="R66" s="1025"/>
      <c r="S66" s="1025"/>
      <c r="T66" s="1024"/>
      <c r="U66" s="1024"/>
      <c r="V66" s="1026"/>
      <c r="W66" s="927"/>
      <c r="X66" s="927"/>
      <c r="Y66" s="927"/>
      <c r="Z66" s="927"/>
      <c r="AA66" s="927"/>
      <c r="AB66" s="927"/>
      <c r="AC66" s="927"/>
      <c r="AD66" s="927"/>
      <c r="AE66" s="927"/>
      <c r="AF66" s="927"/>
      <c r="AG66" s="927"/>
      <c r="AH66" s="927"/>
      <c r="AI66" s="927"/>
      <c r="AJ66" s="927"/>
      <c r="AK66" s="927"/>
      <c r="AL66" s="927"/>
      <c r="AM66" s="927"/>
      <c r="AN66" s="927"/>
      <c r="AO66" s="927"/>
      <c r="AP66" s="927"/>
      <c r="AQ66" s="927"/>
    </row>
    <row r="67" spans="1:43" s="104" customFormat="1" ht="0.15" customHeight="1">
      <c r="A67" s="927">
        <v>1</v>
      </c>
      <c r="B67" s="927"/>
      <c r="C67" s="927"/>
      <c r="D67" s="927"/>
      <c r="E67" s="927"/>
      <c r="F67" s="927">
        <v>2067</v>
      </c>
      <c r="G67" s="927" t="b">
        <v>0</v>
      </c>
      <c r="H67" s="927"/>
      <c r="I67" s="927"/>
      <c r="J67" s="927"/>
      <c r="K67" s="927"/>
      <c r="L67" s="1019" t="s">
        <v>3236</v>
      </c>
      <c r="M67" s="1023"/>
      <c r="N67" s="1024"/>
      <c r="O67" s="1023"/>
      <c r="P67" s="1025"/>
      <c r="Q67" s="1024"/>
      <c r="R67" s="1025"/>
      <c r="S67" s="1025"/>
      <c r="T67" s="1024"/>
      <c r="U67" s="1024"/>
      <c r="V67" s="1026"/>
      <c r="W67" s="927"/>
      <c r="X67" s="927"/>
      <c r="Y67" s="927"/>
      <c r="Z67" s="927"/>
      <c r="AA67" s="927"/>
      <c r="AB67" s="927"/>
      <c r="AC67" s="927"/>
      <c r="AD67" s="927"/>
      <c r="AE67" s="927"/>
      <c r="AF67" s="927"/>
      <c r="AG67" s="927"/>
      <c r="AH67" s="927"/>
      <c r="AI67" s="927"/>
      <c r="AJ67" s="927"/>
      <c r="AK67" s="927"/>
      <c r="AL67" s="927"/>
      <c r="AM67" s="927"/>
      <c r="AN67" s="927"/>
      <c r="AO67" s="927"/>
      <c r="AP67" s="927"/>
      <c r="AQ67" s="927"/>
    </row>
    <row r="68" spans="1:43" s="104" customFormat="1" ht="0.15" customHeight="1">
      <c r="A68" s="927">
        <v>1</v>
      </c>
      <c r="B68" s="927"/>
      <c r="C68" s="927"/>
      <c r="D68" s="927"/>
      <c r="E68" s="927"/>
      <c r="F68" s="927">
        <v>2068</v>
      </c>
      <c r="G68" s="927" t="b">
        <v>0</v>
      </c>
      <c r="H68" s="927"/>
      <c r="I68" s="927"/>
      <c r="J68" s="927"/>
      <c r="K68" s="927"/>
      <c r="L68" s="1019" t="s">
        <v>3237</v>
      </c>
      <c r="M68" s="1023"/>
      <c r="N68" s="1024"/>
      <c r="O68" s="1023"/>
      <c r="P68" s="1025"/>
      <c r="Q68" s="1024"/>
      <c r="R68" s="1025"/>
      <c r="S68" s="1025"/>
      <c r="T68" s="1024"/>
      <c r="U68" s="1024"/>
      <c r="V68" s="1026"/>
      <c r="W68" s="927"/>
      <c r="X68" s="927"/>
      <c r="Y68" s="927"/>
      <c r="Z68" s="927"/>
      <c r="AA68" s="927"/>
      <c r="AB68" s="927"/>
      <c r="AC68" s="927"/>
      <c r="AD68" s="927"/>
      <c r="AE68" s="927"/>
      <c r="AF68" s="927"/>
      <c r="AG68" s="927"/>
      <c r="AH68" s="927"/>
      <c r="AI68" s="927"/>
      <c r="AJ68" s="927"/>
      <c r="AK68" s="927"/>
      <c r="AL68" s="927"/>
      <c r="AM68" s="927"/>
      <c r="AN68" s="927"/>
      <c r="AO68" s="927"/>
      <c r="AP68" s="927"/>
      <c r="AQ68" s="927"/>
    </row>
    <row r="69" spans="1:43" s="104" customFormat="1" ht="0.15" customHeight="1">
      <c r="A69" s="927">
        <v>1</v>
      </c>
      <c r="B69" s="927"/>
      <c r="C69" s="927"/>
      <c r="D69" s="927"/>
      <c r="E69" s="927"/>
      <c r="F69" s="927">
        <v>2069</v>
      </c>
      <c r="G69" s="927" t="b">
        <v>0</v>
      </c>
      <c r="H69" s="927"/>
      <c r="I69" s="927"/>
      <c r="J69" s="927"/>
      <c r="K69" s="927"/>
      <c r="L69" s="1019" t="s">
        <v>3238</v>
      </c>
      <c r="M69" s="1023"/>
      <c r="N69" s="1024"/>
      <c r="O69" s="1023"/>
      <c r="P69" s="1025"/>
      <c r="Q69" s="1024"/>
      <c r="R69" s="1025"/>
      <c r="S69" s="1025"/>
      <c r="T69" s="1024"/>
      <c r="U69" s="1024"/>
      <c r="V69" s="1026"/>
      <c r="W69" s="927"/>
      <c r="X69" s="927"/>
      <c r="Y69" s="927"/>
      <c r="Z69" s="927"/>
      <c r="AA69" s="927"/>
      <c r="AB69" s="927"/>
      <c r="AC69" s="927"/>
      <c r="AD69" s="927"/>
      <c r="AE69" s="927"/>
      <c r="AF69" s="927"/>
      <c r="AG69" s="927"/>
      <c r="AH69" s="927"/>
      <c r="AI69" s="927"/>
      <c r="AJ69" s="927"/>
      <c r="AK69" s="927"/>
      <c r="AL69" s="927"/>
      <c r="AM69" s="927"/>
      <c r="AN69" s="927"/>
      <c r="AO69" s="927"/>
      <c r="AP69" s="927"/>
      <c r="AQ69" s="927"/>
    </row>
    <row r="70" spans="1:43" s="101" customFormat="1">
      <c r="A70" s="788" t="s">
        <v>102</v>
      </c>
      <c r="B70" s="874"/>
      <c r="C70" s="874"/>
      <c r="D70" s="874"/>
      <c r="E70" s="874"/>
      <c r="F70" s="874"/>
      <c r="G70" s="874"/>
      <c r="H70" s="874"/>
      <c r="I70" s="874"/>
      <c r="J70" s="874"/>
      <c r="K70" s="874"/>
      <c r="L70" s="888" t="s">
        <v>3009</v>
      </c>
      <c r="M70" s="889"/>
      <c r="N70" s="889"/>
      <c r="O70" s="889"/>
      <c r="P70" s="889"/>
      <c r="Q70" s="889"/>
      <c r="R70" s="889"/>
      <c r="S70" s="889"/>
      <c r="T70" s="889"/>
      <c r="U70" s="889"/>
      <c r="V70" s="1022"/>
      <c r="W70" s="874"/>
      <c r="X70" s="874"/>
      <c r="Y70" s="874"/>
      <c r="Z70" s="874"/>
      <c r="AA70" s="874"/>
      <c r="AB70" s="874"/>
      <c r="AC70" s="874"/>
      <c r="AD70" s="874"/>
      <c r="AE70" s="874"/>
      <c r="AF70" s="874"/>
      <c r="AG70" s="874"/>
      <c r="AH70" s="874"/>
      <c r="AI70" s="874"/>
      <c r="AJ70" s="874"/>
      <c r="AK70" s="874"/>
      <c r="AL70" s="874"/>
      <c r="AM70" s="874"/>
      <c r="AN70" s="874"/>
      <c r="AO70" s="874"/>
      <c r="AP70" s="874"/>
      <c r="AQ70" s="874"/>
    </row>
    <row r="71" spans="1:43" s="104" customFormat="1">
      <c r="A71" s="927">
        <v>2</v>
      </c>
      <c r="B71" s="927"/>
      <c r="C71" s="927"/>
      <c r="D71" s="927"/>
      <c r="E71" s="927"/>
      <c r="F71" s="927">
        <v>2020</v>
      </c>
      <c r="G71" s="927" t="b">
        <v>1</v>
      </c>
      <c r="H71" s="927"/>
      <c r="I71" s="927"/>
      <c r="J71" s="927"/>
      <c r="K71" s="927"/>
      <c r="L71" s="1019" t="s">
        <v>3243</v>
      </c>
      <c r="M71" s="1023">
        <v>0</v>
      </c>
      <c r="N71" s="1024">
        <v>0</v>
      </c>
      <c r="O71" s="1023"/>
      <c r="P71" s="1025"/>
      <c r="Q71" s="1024">
        <v>0</v>
      </c>
      <c r="R71" s="1025"/>
      <c r="S71" s="1025"/>
      <c r="T71" s="1024">
        <v>0</v>
      </c>
      <c r="U71" s="1024">
        <v>0</v>
      </c>
      <c r="V71" s="1026"/>
      <c r="W71" s="927"/>
      <c r="X71" s="927"/>
      <c r="Y71" s="927"/>
      <c r="Z71" s="927"/>
      <c r="AA71" s="927"/>
      <c r="AB71" s="927"/>
      <c r="AC71" s="927"/>
      <c r="AD71" s="927"/>
      <c r="AE71" s="927"/>
      <c r="AF71" s="927"/>
      <c r="AG71" s="927"/>
      <c r="AH71" s="927"/>
      <c r="AI71" s="927"/>
      <c r="AJ71" s="927"/>
      <c r="AK71" s="927"/>
      <c r="AL71" s="927"/>
      <c r="AM71" s="927"/>
      <c r="AN71" s="927"/>
      <c r="AO71" s="927"/>
      <c r="AP71" s="927"/>
      <c r="AQ71" s="927"/>
    </row>
    <row r="72" spans="1:43" s="104" customFormat="1">
      <c r="A72" s="927">
        <v>2</v>
      </c>
      <c r="B72" s="927"/>
      <c r="C72" s="927"/>
      <c r="D72" s="927"/>
      <c r="E72" s="927"/>
      <c r="F72" s="927">
        <v>2021</v>
      </c>
      <c r="G72" s="927" t="b">
        <v>1</v>
      </c>
      <c r="H72" s="927"/>
      <c r="I72" s="927"/>
      <c r="J72" s="927"/>
      <c r="K72" s="927"/>
      <c r="L72" s="1019" t="s">
        <v>3244</v>
      </c>
      <c r="M72" s="1023">
        <v>0</v>
      </c>
      <c r="N72" s="1024">
        <v>0</v>
      </c>
      <c r="O72" s="1023"/>
      <c r="P72" s="1025"/>
      <c r="Q72" s="1024">
        <v>0</v>
      </c>
      <c r="R72" s="1025"/>
      <c r="S72" s="1025"/>
      <c r="T72" s="1024">
        <v>0</v>
      </c>
      <c r="U72" s="1024">
        <v>0</v>
      </c>
      <c r="V72" s="1026"/>
      <c r="W72" s="927"/>
      <c r="X72" s="927"/>
      <c r="Y72" s="927"/>
      <c r="Z72" s="927"/>
      <c r="AA72" s="927"/>
      <c r="AB72" s="927"/>
      <c r="AC72" s="927"/>
      <c r="AD72" s="927"/>
      <c r="AE72" s="927"/>
      <c r="AF72" s="927"/>
      <c r="AG72" s="927"/>
      <c r="AH72" s="927"/>
      <c r="AI72" s="927"/>
      <c r="AJ72" s="927"/>
      <c r="AK72" s="927"/>
      <c r="AL72" s="927"/>
      <c r="AM72" s="927"/>
      <c r="AN72" s="927"/>
      <c r="AO72" s="927"/>
      <c r="AP72" s="927"/>
      <c r="AQ72" s="927"/>
    </row>
    <row r="73" spans="1:43" s="104" customFormat="1">
      <c r="A73" s="927">
        <v>2</v>
      </c>
      <c r="B73" s="927"/>
      <c r="C73" s="927"/>
      <c r="D73" s="927"/>
      <c r="E73" s="927"/>
      <c r="F73" s="927">
        <v>2022</v>
      </c>
      <c r="G73" s="927" t="b">
        <v>1</v>
      </c>
      <c r="H73" s="927"/>
      <c r="I73" s="927"/>
      <c r="J73" s="927"/>
      <c r="K73" s="927"/>
      <c r="L73" s="1019" t="s">
        <v>3010</v>
      </c>
      <c r="M73" s="1023">
        <v>1061.0899999999999</v>
      </c>
      <c r="N73" s="1024">
        <v>1</v>
      </c>
      <c r="O73" s="1023"/>
      <c r="P73" s="1025"/>
      <c r="Q73" s="1024">
        <v>0</v>
      </c>
      <c r="R73" s="1025"/>
      <c r="S73" s="1025"/>
      <c r="T73" s="1024">
        <v>0</v>
      </c>
      <c r="U73" s="1024">
        <v>0</v>
      </c>
      <c r="V73" s="1026"/>
      <c r="W73" s="927"/>
      <c r="X73" s="927"/>
      <c r="Y73" s="927"/>
      <c r="Z73" s="927"/>
      <c r="AA73" s="927"/>
      <c r="AB73" s="927"/>
      <c r="AC73" s="927"/>
      <c r="AD73" s="927"/>
      <c r="AE73" s="927"/>
      <c r="AF73" s="927"/>
      <c r="AG73" s="927"/>
      <c r="AH73" s="927"/>
      <c r="AI73" s="927"/>
      <c r="AJ73" s="927"/>
      <c r="AK73" s="927"/>
      <c r="AL73" s="927"/>
      <c r="AM73" s="927"/>
      <c r="AN73" s="927"/>
      <c r="AO73" s="927"/>
      <c r="AP73" s="927"/>
      <c r="AQ73" s="927"/>
    </row>
    <row r="74" spans="1:43" s="104" customFormat="1">
      <c r="A74" s="927">
        <v>2</v>
      </c>
      <c r="B74" s="927"/>
      <c r="C74" s="927"/>
      <c r="D74" s="927"/>
      <c r="E74" s="927"/>
      <c r="F74" s="927">
        <v>2023</v>
      </c>
      <c r="G74" s="927" t="b">
        <v>1</v>
      </c>
      <c r="H74" s="927"/>
      <c r="I74" s="927"/>
      <c r="J74" s="927"/>
      <c r="K74" s="927"/>
      <c r="L74" s="1019" t="s">
        <v>3011</v>
      </c>
      <c r="M74" s="1023">
        <v>1224.03</v>
      </c>
      <c r="N74" s="1024">
        <v>1</v>
      </c>
      <c r="O74" s="1023"/>
      <c r="P74" s="1025"/>
      <c r="Q74" s="1024">
        <v>0</v>
      </c>
      <c r="R74" s="1025"/>
      <c r="S74" s="1025"/>
      <c r="T74" s="1024">
        <v>0</v>
      </c>
      <c r="U74" s="1024">
        <v>0</v>
      </c>
      <c r="V74" s="1026"/>
      <c r="W74" s="927"/>
      <c r="X74" s="927"/>
      <c r="Y74" s="927"/>
      <c r="Z74" s="927"/>
      <c r="AA74" s="927"/>
      <c r="AB74" s="927"/>
      <c r="AC74" s="927"/>
      <c r="AD74" s="927"/>
      <c r="AE74" s="927"/>
      <c r="AF74" s="927"/>
      <c r="AG74" s="927"/>
      <c r="AH74" s="927"/>
      <c r="AI74" s="927"/>
      <c r="AJ74" s="927"/>
      <c r="AK74" s="927"/>
      <c r="AL74" s="927"/>
      <c r="AM74" s="927"/>
      <c r="AN74" s="927"/>
      <c r="AO74" s="927"/>
      <c r="AP74" s="927"/>
      <c r="AQ74" s="927"/>
    </row>
    <row r="75" spans="1:43" s="104" customFormat="1">
      <c r="A75" s="927">
        <v>2</v>
      </c>
      <c r="B75" s="927"/>
      <c r="C75" s="927"/>
      <c r="D75" s="927"/>
      <c r="E75" s="927"/>
      <c r="F75" s="927">
        <v>2024</v>
      </c>
      <c r="G75" s="927" t="b">
        <v>1</v>
      </c>
      <c r="H75" s="927"/>
      <c r="I75" s="927"/>
      <c r="J75" s="927"/>
      <c r="K75" s="927"/>
      <c r="L75" s="1019" t="s">
        <v>3012</v>
      </c>
      <c r="M75" s="1023">
        <v>1299.04</v>
      </c>
      <c r="N75" s="1024">
        <v>1</v>
      </c>
      <c r="O75" s="1023"/>
      <c r="P75" s="1025"/>
      <c r="Q75" s="1024">
        <v>0</v>
      </c>
      <c r="R75" s="1025"/>
      <c r="S75" s="1025"/>
      <c r="T75" s="1024">
        <v>0</v>
      </c>
      <c r="U75" s="1024">
        <v>0</v>
      </c>
      <c r="V75" s="1026"/>
      <c r="W75" s="927"/>
      <c r="X75" s="927"/>
      <c r="Y75" s="927"/>
      <c r="Z75" s="927"/>
      <c r="AA75" s="927"/>
      <c r="AB75" s="927"/>
      <c r="AC75" s="927"/>
      <c r="AD75" s="927"/>
      <c r="AE75" s="927"/>
      <c r="AF75" s="927"/>
      <c r="AG75" s="927"/>
      <c r="AH75" s="927"/>
      <c r="AI75" s="927"/>
      <c r="AJ75" s="927"/>
      <c r="AK75" s="927"/>
      <c r="AL75" s="927"/>
      <c r="AM75" s="927"/>
      <c r="AN75" s="927"/>
      <c r="AO75" s="927"/>
      <c r="AP75" s="927"/>
      <c r="AQ75" s="927"/>
    </row>
    <row r="76" spans="1:43" s="104" customFormat="1" ht="0.15" customHeight="1">
      <c r="A76" s="927">
        <v>2</v>
      </c>
      <c r="B76" s="927"/>
      <c r="C76" s="927"/>
      <c r="D76" s="927"/>
      <c r="E76" s="927"/>
      <c r="F76" s="927">
        <v>2025</v>
      </c>
      <c r="G76" s="927" t="b">
        <v>0</v>
      </c>
      <c r="H76" s="927"/>
      <c r="I76" s="927"/>
      <c r="J76" s="927"/>
      <c r="K76" s="927"/>
      <c r="L76" s="1019" t="s">
        <v>3046</v>
      </c>
      <c r="M76" s="1023">
        <v>1299.04</v>
      </c>
      <c r="N76" s="1024">
        <v>0</v>
      </c>
      <c r="O76" s="1023"/>
      <c r="P76" s="1025"/>
      <c r="Q76" s="1024">
        <v>0</v>
      </c>
      <c r="R76" s="1025"/>
      <c r="S76" s="1025"/>
      <c r="T76" s="1024">
        <v>0</v>
      </c>
      <c r="U76" s="1024">
        <v>0</v>
      </c>
      <c r="V76" s="1026"/>
      <c r="W76" s="927"/>
      <c r="X76" s="927"/>
      <c r="Y76" s="927"/>
      <c r="Z76" s="927"/>
      <c r="AA76" s="927"/>
      <c r="AB76" s="927"/>
      <c r="AC76" s="927"/>
      <c r="AD76" s="927"/>
      <c r="AE76" s="927"/>
      <c r="AF76" s="927"/>
      <c r="AG76" s="927"/>
      <c r="AH76" s="927"/>
      <c r="AI76" s="927"/>
      <c r="AJ76" s="927"/>
      <c r="AK76" s="927"/>
      <c r="AL76" s="927"/>
      <c r="AM76" s="927"/>
      <c r="AN76" s="927"/>
      <c r="AO76" s="927"/>
      <c r="AP76" s="927"/>
      <c r="AQ76" s="927"/>
    </row>
    <row r="77" spans="1:43" s="104" customFormat="1" ht="0.15" customHeight="1">
      <c r="A77" s="927">
        <v>2</v>
      </c>
      <c r="B77" s="927"/>
      <c r="C77" s="927"/>
      <c r="D77" s="927"/>
      <c r="E77" s="927"/>
      <c r="F77" s="927">
        <v>2026</v>
      </c>
      <c r="G77" s="927" t="b">
        <v>0</v>
      </c>
      <c r="H77" s="927"/>
      <c r="I77" s="927"/>
      <c r="J77" s="927"/>
      <c r="K77" s="927"/>
      <c r="L77" s="1019" t="s">
        <v>3047</v>
      </c>
      <c r="M77" s="1023">
        <v>1299.04</v>
      </c>
      <c r="N77" s="1024">
        <v>0</v>
      </c>
      <c r="O77" s="1023"/>
      <c r="P77" s="1025"/>
      <c r="Q77" s="1024">
        <v>0</v>
      </c>
      <c r="R77" s="1025"/>
      <c r="S77" s="1025"/>
      <c r="T77" s="1024">
        <v>0</v>
      </c>
      <c r="U77" s="1024">
        <v>0</v>
      </c>
      <c r="V77" s="1026"/>
      <c r="W77" s="927"/>
      <c r="X77" s="927"/>
      <c r="Y77" s="927"/>
      <c r="Z77" s="927"/>
      <c r="AA77" s="927"/>
      <c r="AB77" s="927"/>
      <c r="AC77" s="927"/>
      <c r="AD77" s="927"/>
      <c r="AE77" s="927"/>
      <c r="AF77" s="927"/>
      <c r="AG77" s="927"/>
      <c r="AH77" s="927"/>
      <c r="AI77" s="927"/>
      <c r="AJ77" s="927"/>
      <c r="AK77" s="927"/>
      <c r="AL77" s="927"/>
      <c r="AM77" s="927"/>
      <c r="AN77" s="927"/>
      <c r="AO77" s="927"/>
      <c r="AP77" s="927"/>
      <c r="AQ77" s="927"/>
    </row>
    <row r="78" spans="1:43" s="104" customFormat="1" ht="0.15" customHeight="1">
      <c r="A78" s="927">
        <v>2</v>
      </c>
      <c r="B78" s="927"/>
      <c r="C78" s="927"/>
      <c r="D78" s="927"/>
      <c r="E78" s="927"/>
      <c r="F78" s="927">
        <v>2027</v>
      </c>
      <c r="G78" s="927" t="b">
        <v>0</v>
      </c>
      <c r="H78" s="927"/>
      <c r="I78" s="927"/>
      <c r="J78" s="927"/>
      <c r="K78" s="927"/>
      <c r="L78" s="1019" t="s">
        <v>3048</v>
      </c>
      <c r="M78" s="1023">
        <v>1299.04</v>
      </c>
      <c r="N78" s="1024">
        <v>0</v>
      </c>
      <c r="O78" s="1023"/>
      <c r="P78" s="1025"/>
      <c r="Q78" s="1024">
        <v>0</v>
      </c>
      <c r="R78" s="1025"/>
      <c r="S78" s="1025"/>
      <c r="T78" s="1024">
        <v>0</v>
      </c>
      <c r="U78" s="1024">
        <v>0</v>
      </c>
      <c r="V78" s="1026"/>
      <c r="W78" s="927"/>
      <c r="X78" s="927"/>
      <c r="Y78" s="927"/>
      <c r="Z78" s="927"/>
      <c r="AA78" s="927"/>
      <c r="AB78" s="927"/>
      <c r="AC78" s="927"/>
      <c r="AD78" s="927"/>
      <c r="AE78" s="927"/>
      <c r="AF78" s="927"/>
      <c r="AG78" s="927"/>
      <c r="AH78" s="927"/>
      <c r="AI78" s="927"/>
      <c r="AJ78" s="927"/>
      <c r="AK78" s="927"/>
      <c r="AL78" s="927"/>
      <c r="AM78" s="927"/>
      <c r="AN78" s="927"/>
      <c r="AO78" s="927"/>
      <c r="AP78" s="927"/>
      <c r="AQ78" s="927"/>
    </row>
    <row r="79" spans="1:43" s="104" customFormat="1" ht="0.15" customHeight="1">
      <c r="A79" s="927">
        <v>2</v>
      </c>
      <c r="B79" s="927"/>
      <c r="C79" s="927"/>
      <c r="D79" s="927"/>
      <c r="E79" s="927"/>
      <c r="F79" s="927">
        <v>2028</v>
      </c>
      <c r="G79" s="927" t="b">
        <v>0</v>
      </c>
      <c r="H79" s="927"/>
      <c r="I79" s="927"/>
      <c r="J79" s="927"/>
      <c r="K79" s="927"/>
      <c r="L79" s="1019" t="s">
        <v>3049</v>
      </c>
      <c r="M79" s="1023">
        <v>1299.04</v>
      </c>
      <c r="N79" s="1024">
        <v>0</v>
      </c>
      <c r="O79" s="1023"/>
      <c r="P79" s="1025"/>
      <c r="Q79" s="1024">
        <v>0</v>
      </c>
      <c r="R79" s="1025"/>
      <c r="S79" s="1025"/>
      <c r="T79" s="1024">
        <v>0</v>
      </c>
      <c r="U79" s="1024">
        <v>0</v>
      </c>
      <c r="V79" s="1026"/>
      <c r="W79" s="927"/>
      <c r="X79" s="927"/>
      <c r="Y79" s="927"/>
      <c r="Z79" s="927"/>
      <c r="AA79" s="927"/>
      <c r="AB79" s="927"/>
      <c r="AC79" s="927"/>
      <c r="AD79" s="927"/>
      <c r="AE79" s="927"/>
      <c r="AF79" s="927"/>
      <c r="AG79" s="927"/>
      <c r="AH79" s="927"/>
      <c r="AI79" s="927"/>
      <c r="AJ79" s="927"/>
      <c r="AK79" s="927"/>
      <c r="AL79" s="927"/>
      <c r="AM79" s="927"/>
      <c r="AN79" s="927"/>
      <c r="AO79" s="927"/>
      <c r="AP79" s="927"/>
      <c r="AQ79" s="927"/>
    </row>
    <row r="80" spans="1:43" s="104" customFormat="1" ht="0.15" customHeight="1">
      <c r="A80" s="927">
        <v>2</v>
      </c>
      <c r="B80" s="927"/>
      <c r="C80" s="927"/>
      <c r="D80" s="927"/>
      <c r="E80" s="927"/>
      <c r="F80" s="927">
        <v>2029</v>
      </c>
      <c r="G80" s="927" t="b">
        <v>0</v>
      </c>
      <c r="H80" s="927"/>
      <c r="I80" s="927"/>
      <c r="J80" s="927"/>
      <c r="K80" s="927"/>
      <c r="L80" s="1019" t="s">
        <v>3050</v>
      </c>
      <c r="M80" s="1023">
        <v>1299.04</v>
      </c>
      <c r="N80" s="1024">
        <v>0</v>
      </c>
      <c r="O80" s="1023"/>
      <c r="P80" s="1025"/>
      <c r="Q80" s="1024">
        <v>0</v>
      </c>
      <c r="R80" s="1025"/>
      <c r="S80" s="1025"/>
      <c r="T80" s="1024">
        <v>0</v>
      </c>
      <c r="U80" s="1024">
        <v>0</v>
      </c>
      <c r="V80" s="1026"/>
      <c r="W80" s="927"/>
      <c r="X80" s="927"/>
      <c r="Y80" s="927"/>
      <c r="Z80" s="927"/>
      <c r="AA80" s="927"/>
      <c r="AB80" s="927"/>
      <c r="AC80" s="927"/>
      <c r="AD80" s="927"/>
      <c r="AE80" s="927"/>
      <c r="AF80" s="927"/>
      <c r="AG80" s="927"/>
      <c r="AH80" s="927"/>
      <c r="AI80" s="927"/>
      <c r="AJ80" s="927"/>
      <c r="AK80" s="927"/>
      <c r="AL80" s="927"/>
      <c r="AM80" s="927"/>
      <c r="AN80" s="927"/>
      <c r="AO80" s="927"/>
      <c r="AP80" s="927"/>
      <c r="AQ80" s="927"/>
    </row>
    <row r="81" spans="1:43" s="104" customFormat="1" ht="0.15" customHeight="1">
      <c r="A81" s="927">
        <v>2</v>
      </c>
      <c r="B81" s="927"/>
      <c r="C81" s="927"/>
      <c r="D81" s="927"/>
      <c r="E81" s="927"/>
      <c r="F81" s="927">
        <v>2030</v>
      </c>
      <c r="G81" s="927" t="b">
        <v>0</v>
      </c>
      <c r="H81" s="927"/>
      <c r="I81" s="927"/>
      <c r="J81" s="927"/>
      <c r="K81" s="927"/>
      <c r="L81" s="1019" t="s">
        <v>3051</v>
      </c>
      <c r="M81" s="1023"/>
      <c r="N81" s="1024"/>
      <c r="O81" s="1023"/>
      <c r="P81" s="1025"/>
      <c r="Q81" s="1024"/>
      <c r="R81" s="1025"/>
      <c r="S81" s="1025"/>
      <c r="T81" s="1024"/>
      <c r="U81" s="1024"/>
      <c r="V81" s="1026"/>
      <c r="W81" s="927"/>
      <c r="X81" s="927"/>
      <c r="Y81" s="927"/>
      <c r="Z81" s="927"/>
      <c r="AA81" s="927"/>
      <c r="AB81" s="927"/>
      <c r="AC81" s="927"/>
      <c r="AD81" s="927"/>
      <c r="AE81" s="927"/>
      <c r="AF81" s="927"/>
      <c r="AG81" s="927"/>
      <c r="AH81" s="927"/>
      <c r="AI81" s="927"/>
      <c r="AJ81" s="927"/>
      <c r="AK81" s="927"/>
      <c r="AL81" s="927"/>
      <c r="AM81" s="927"/>
      <c r="AN81" s="927"/>
      <c r="AO81" s="927"/>
      <c r="AP81" s="927"/>
      <c r="AQ81" s="927"/>
    </row>
    <row r="82" spans="1:43" s="104" customFormat="1" ht="0.15" customHeight="1">
      <c r="A82" s="927">
        <v>2</v>
      </c>
      <c r="B82" s="927"/>
      <c r="C82" s="927"/>
      <c r="D82" s="927"/>
      <c r="E82" s="927"/>
      <c r="F82" s="927">
        <v>2031</v>
      </c>
      <c r="G82" s="927" t="b">
        <v>0</v>
      </c>
      <c r="H82" s="927"/>
      <c r="I82" s="927"/>
      <c r="J82" s="927"/>
      <c r="K82" s="927"/>
      <c r="L82" s="1019" t="s">
        <v>3052</v>
      </c>
      <c r="M82" s="1023"/>
      <c r="N82" s="1024"/>
      <c r="O82" s="1023"/>
      <c r="P82" s="1025"/>
      <c r="Q82" s="1024"/>
      <c r="R82" s="1025"/>
      <c r="S82" s="1025"/>
      <c r="T82" s="1024"/>
      <c r="U82" s="1024"/>
      <c r="V82" s="1026"/>
      <c r="W82" s="927"/>
      <c r="X82" s="927"/>
      <c r="Y82" s="927"/>
      <c r="Z82" s="927"/>
      <c r="AA82" s="927"/>
      <c r="AB82" s="927"/>
      <c r="AC82" s="927"/>
      <c r="AD82" s="927"/>
      <c r="AE82" s="927"/>
      <c r="AF82" s="927"/>
      <c r="AG82" s="927"/>
      <c r="AH82" s="927"/>
      <c r="AI82" s="927"/>
      <c r="AJ82" s="927"/>
      <c r="AK82" s="927"/>
      <c r="AL82" s="927"/>
      <c r="AM82" s="927"/>
      <c r="AN82" s="927"/>
      <c r="AO82" s="927"/>
      <c r="AP82" s="927"/>
      <c r="AQ82" s="927"/>
    </row>
    <row r="83" spans="1:43" s="104" customFormat="1" ht="0.15" customHeight="1">
      <c r="A83" s="927">
        <v>2</v>
      </c>
      <c r="B83" s="927"/>
      <c r="C83" s="927"/>
      <c r="D83" s="927"/>
      <c r="E83" s="927"/>
      <c r="F83" s="927">
        <v>2032</v>
      </c>
      <c r="G83" s="927" t="b">
        <v>0</v>
      </c>
      <c r="H83" s="927"/>
      <c r="I83" s="927"/>
      <c r="J83" s="927"/>
      <c r="K83" s="927"/>
      <c r="L83" s="1019" t="s">
        <v>3053</v>
      </c>
      <c r="M83" s="1023"/>
      <c r="N83" s="1024"/>
      <c r="O83" s="1023"/>
      <c r="P83" s="1025"/>
      <c r="Q83" s="1024"/>
      <c r="R83" s="1025"/>
      <c r="S83" s="1025"/>
      <c r="T83" s="1024"/>
      <c r="U83" s="1024"/>
      <c r="V83" s="1026"/>
      <c r="W83" s="927"/>
      <c r="X83" s="927"/>
      <c r="Y83" s="927"/>
      <c r="Z83" s="927"/>
      <c r="AA83" s="927"/>
      <c r="AB83" s="927"/>
      <c r="AC83" s="927"/>
      <c r="AD83" s="927"/>
      <c r="AE83" s="927"/>
      <c r="AF83" s="927"/>
      <c r="AG83" s="927"/>
      <c r="AH83" s="927"/>
      <c r="AI83" s="927"/>
      <c r="AJ83" s="927"/>
      <c r="AK83" s="927"/>
      <c r="AL83" s="927"/>
      <c r="AM83" s="927"/>
      <c r="AN83" s="927"/>
      <c r="AO83" s="927"/>
      <c r="AP83" s="927"/>
      <c r="AQ83" s="927"/>
    </row>
    <row r="84" spans="1:43" s="104" customFormat="1" ht="0.15" customHeight="1">
      <c r="A84" s="927">
        <v>2</v>
      </c>
      <c r="B84" s="927"/>
      <c r="C84" s="927"/>
      <c r="D84" s="927"/>
      <c r="E84" s="927"/>
      <c r="F84" s="927">
        <v>2033</v>
      </c>
      <c r="G84" s="927" t="b">
        <v>0</v>
      </c>
      <c r="H84" s="927"/>
      <c r="I84" s="927"/>
      <c r="J84" s="927"/>
      <c r="K84" s="927"/>
      <c r="L84" s="1019" t="s">
        <v>3054</v>
      </c>
      <c r="M84" s="1023"/>
      <c r="N84" s="1024"/>
      <c r="O84" s="1023"/>
      <c r="P84" s="1025"/>
      <c r="Q84" s="1024"/>
      <c r="R84" s="1025"/>
      <c r="S84" s="1025"/>
      <c r="T84" s="1024"/>
      <c r="U84" s="1024"/>
      <c r="V84" s="1026"/>
      <c r="W84" s="927"/>
      <c r="X84" s="927"/>
      <c r="Y84" s="927"/>
      <c r="Z84" s="927"/>
      <c r="AA84" s="927"/>
      <c r="AB84" s="927"/>
      <c r="AC84" s="927"/>
      <c r="AD84" s="927"/>
      <c r="AE84" s="927"/>
      <c r="AF84" s="927"/>
      <c r="AG84" s="927"/>
      <c r="AH84" s="927"/>
      <c r="AI84" s="927"/>
      <c r="AJ84" s="927"/>
      <c r="AK84" s="927"/>
      <c r="AL84" s="927"/>
      <c r="AM84" s="927"/>
      <c r="AN84" s="927"/>
      <c r="AO84" s="927"/>
      <c r="AP84" s="927"/>
      <c r="AQ84" s="927"/>
    </row>
    <row r="85" spans="1:43" s="104" customFormat="1" ht="0.15" customHeight="1">
      <c r="A85" s="927">
        <v>2</v>
      </c>
      <c r="B85" s="927"/>
      <c r="C85" s="927"/>
      <c r="D85" s="927"/>
      <c r="E85" s="927"/>
      <c r="F85" s="927">
        <v>2034</v>
      </c>
      <c r="G85" s="927" t="b">
        <v>0</v>
      </c>
      <c r="H85" s="927"/>
      <c r="I85" s="927"/>
      <c r="J85" s="927"/>
      <c r="K85" s="927"/>
      <c r="L85" s="1019" t="s">
        <v>3203</v>
      </c>
      <c r="M85" s="1023"/>
      <c r="N85" s="1024"/>
      <c r="O85" s="1023"/>
      <c r="P85" s="1025"/>
      <c r="Q85" s="1024"/>
      <c r="R85" s="1025"/>
      <c r="S85" s="1025"/>
      <c r="T85" s="1024"/>
      <c r="U85" s="1024"/>
      <c r="V85" s="1026"/>
      <c r="W85" s="927"/>
      <c r="X85" s="927"/>
      <c r="Y85" s="927"/>
      <c r="Z85" s="927"/>
      <c r="AA85" s="927"/>
      <c r="AB85" s="927"/>
      <c r="AC85" s="927"/>
      <c r="AD85" s="927"/>
      <c r="AE85" s="927"/>
      <c r="AF85" s="927"/>
      <c r="AG85" s="927"/>
      <c r="AH85" s="927"/>
      <c r="AI85" s="927"/>
      <c r="AJ85" s="927"/>
      <c r="AK85" s="927"/>
      <c r="AL85" s="927"/>
      <c r="AM85" s="927"/>
      <c r="AN85" s="927"/>
      <c r="AO85" s="927"/>
      <c r="AP85" s="927"/>
      <c r="AQ85" s="927"/>
    </row>
    <row r="86" spans="1:43" s="104" customFormat="1" ht="0.15" customHeight="1">
      <c r="A86" s="927">
        <v>2</v>
      </c>
      <c r="B86" s="927"/>
      <c r="C86" s="927"/>
      <c r="D86" s="927"/>
      <c r="E86" s="927"/>
      <c r="F86" s="927">
        <v>2035</v>
      </c>
      <c r="G86" s="927" t="b">
        <v>0</v>
      </c>
      <c r="H86" s="927"/>
      <c r="I86" s="927"/>
      <c r="J86" s="927"/>
      <c r="K86" s="927"/>
      <c r="L86" s="1019" t="s">
        <v>3204</v>
      </c>
      <c r="M86" s="1023"/>
      <c r="N86" s="1024"/>
      <c r="O86" s="1023"/>
      <c r="P86" s="1025"/>
      <c r="Q86" s="1024"/>
      <c r="R86" s="1025"/>
      <c r="S86" s="1025"/>
      <c r="T86" s="1024"/>
      <c r="U86" s="1024"/>
      <c r="V86" s="1026"/>
      <c r="W86" s="927"/>
      <c r="X86" s="927"/>
      <c r="Y86" s="927"/>
      <c r="Z86" s="927"/>
      <c r="AA86" s="927"/>
      <c r="AB86" s="927"/>
      <c r="AC86" s="927"/>
      <c r="AD86" s="927"/>
      <c r="AE86" s="927"/>
      <c r="AF86" s="927"/>
      <c r="AG86" s="927"/>
      <c r="AH86" s="927"/>
      <c r="AI86" s="927"/>
      <c r="AJ86" s="927"/>
      <c r="AK86" s="927"/>
      <c r="AL86" s="927"/>
      <c r="AM86" s="927"/>
      <c r="AN86" s="927"/>
      <c r="AO86" s="927"/>
      <c r="AP86" s="927"/>
      <c r="AQ86" s="927"/>
    </row>
    <row r="87" spans="1:43" s="104" customFormat="1" ht="0.15" customHeight="1">
      <c r="A87" s="927">
        <v>2</v>
      </c>
      <c r="B87" s="927"/>
      <c r="C87" s="927"/>
      <c r="D87" s="927"/>
      <c r="E87" s="927"/>
      <c r="F87" s="927">
        <v>2036</v>
      </c>
      <c r="G87" s="927" t="b">
        <v>0</v>
      </c>
      <c r="H87" s="927"/>
      <c r="I87" s="927"/>
      <c r="J87" s="927"/>
      <c r="K87" s="927"/>
      <c r="L87" s="1019" t="s">
        <v>3205</v>
      </c>
      <c r="M87" s="1023"/>
      <c r="N87" s="1024"/>
      <c r="O87" s="1023"/>
      <c r="P87" s="1025"/>
      <c r="Q87" s="1024"/>
      <c r="R87" s="1025"/>
      <c r="S87" s="1025"/>
      <c r="T87" s="1024"/>
      <c r="U87" s="1024"/>
      <c r="V87" s="1026"/>
      <c r="W87" s="927"/>
      <c r="X87" s="927"/>
      <c r="Y87" s="927"/>
      <c r="Z87" s="927"/>
      <c r="AA87" s="927"/>
      <c r="AB87" s="927"/>
      <c r="AC87" s="927"/>
      <c r="AD87" s="927"/>
      <c r="AE87" s="927"/>
      <c r="AF87" s="927"/>
      <c r="AG87" s="927"/>
      <c r="AH87" s="927"/>
      <c r="AI87" s="927"/>
      <c r="AJ87" s="927"/>
      <c r="AK87" s="927"/>
      <c r="AL87" s="927"/>
      <c r="AM87" s="927"/>
      <c r="AN87" s="927"/>
      <c r="AO87" s="927"/>
      <c r="AP87" s="927"/>
      <c r="AQ87" s="927"/>
    </row>
    <row r="88" spans="1:43" s="104" customFormat="1" ht="0.15" customHeight="1">
      <c r="A88" s="927">
        <v>2</v>
      </c>
      <c r="B88" s="927"/>
      <c r="C88" s="927"/>
      <c r="D88" s="927"/>
      <c r="E88" s="927"/>
      <c r="F88" s="927">
        <v>2037</v>
      </c>
      <c r="G88" s="927" t="b">
        <v>0</v>
      </c>
      <c r="H88" s="927"/>
      <c r="I88" s="927"/>
      <c r="J88" s="927"/>
      <c r="K88" s="927"/>
      <c r="L88" s="1019" t="s">
        <v>3206</v>
      </c>
      <c r="M88" s="1023"/>
      <c r="N88" s="1024"/>
      <c r="O88" s="1023"/>
      <c r="P88" s="1025"/>
      <c r="Q88" s="1024"/>
      <c r="R88" s="1025"/>
      <c r="S88" s="1025"/>
      <c r="T88" s="1024"/>
      <c r="U88" s="1024"/>
      <c r="V88" s="1026"/>
      <c r="W88" s="927"/>
      <c r="X88" s="927"/>
      <c r="Y88" s="927"/>
      <c r="Z88" s="927"/>
      <c r="AA88" s="927"/>
      <c r="AB88" s="927"/>
      <c r="AC88" s="927"/>
      <c r="AD88" s="927"/>
      <c r="AE88" s="927"/>
      <c r="AF88" s="927"/>
      <c r="AG88" s="927"/>
      <c r="AH88" s="927"/>
      <c r="AI88" s="927"/>
      <c r="AJ88" s="927"/>
      <c r="AK88" s="927"/>
      <c r="AL88" s="927"/>
      <c r="AM88" s="927"/>
      <c r="AN88" s="927"/>
      <c r="AO88" s="927"/>
      <c r="AP88" s="927"/>
      <c r="AQ88" s="927"/>
    </row>
    <row r="89" spans="1:43" s="104" customFormat="1" ht="0.15" customHeight="1">
      <c r="A89" s="927">
        <v>2</v>
      </c>
      <c r="B89" s="927"/>
      <c r="C89" s="927"/>
      <c r="D89" s="927"/>
      <c r="E89" s="927"/>
      <c r="F89" s="927">
        <v>2038</v>
      </c>
      <c r="G89" s="927" t="b">
        <v>0</v>
      </c>
      <c r="H89" s="927"/>
      <c r="I89" s="927"/>
      <c r="J89" s="927"/>
      <c r="K89" s="927"/>
      <c r="L89" s="1019" t="s">
        <v>3207</v>
      </c>
      <c r="M89" s="1023"/>
      <c r="N89" s="1024"/>
      <c r="O89" s="1023"/>
      <c r="P89" s="1025"/>
      <c r="Q89" s="1024"/>
      <c r="R89" s="1025"/>
      <c r="S89" s="1025"/>
      <c r="T89" s="1024"/>
      <c r="U89" s="1024"/>
      <c r="V89" s="1026"/>
      <c r="W89" s="927"/>
      <c r="X89" s="927"/>
      <c r="Y89" s="927"/>
      <c r="Z89" s="927"/>
      <c r="AA89" s="927"/>
      <c r="AB89" s="927"/>
      <c r="AC89" s="927"/>
      <c r="AD89" s="927"/>
      <c r="AE89" s="927"/>
      <c r="AF89" s="927"/>
      <c r="AG89" s="927"/>
      <c r="AH89" s="927"/>
      <c r="AI89" s="927"/>
      <c r="AJ89" s="927"/>
      <c r="AK89" s="927"/>
      <c r="AL89" s="927"/>
      <c r="AM89" s="927"/>
      <c r="AN89" s="927"/>
      <c r="AO89" s="927"/>
      <c r="AP89" s="927"/>
      <c r="AQ89" s="927"/>
    </row>
    <row r="90" spans="1:43" s="104" customFormat="1" ht="0.15" customHeight="1">
      <c r="A90" s="927">
        <v>2</v>
      </c>
      <c r="B90" s="927"/>
      <c r="C90" s="927"/>
      <c r="D90" s="927"/>
      <c r="E90" s="927"/>
      <c r="F90" s="927">
        <v>2039</v>
      </c>
      <c r="G90" s="927" t="b">
        <v>0</v>
      </c>
      <c r="H90" s="927"/>
      <c r="I90" s="927"/>
      <c r="J90" s="927"/>
      <c r="K90" s="927"/>
      <c r="L90" s="1019" t="s">
        <v>3208</v>
      </c>
      <c r="M90" s="1023"/>
      <c r="N90" s="1024"/>
      <c r="O90" s="1023"/>
      <c r="P90" s="1025"/>
      <c r="Q90" s="1024"/>
      <c r="R90" s="1025"/>
      <c r="S90" s="1025"/>
      <c r="T90" s="1024"/>
      <c r="U90" s="1024"/>
      <c r="V90" s="1026"/>
      <c r="W90" s="927"/>
      <c r="X90" s="927"/>
      <c r="Y90" s="927"/>
      <c r="Z90" s="927"/>
      <c r="AA90" s="927"/>
      <c r="AB90" s="927"/>
      <c r="AC90" s="927"/>
      <c r="AD90" s="927"/>
      <c r="AE90" s="927"/>
      <c r="AF90" s="927"/>
      <c r="AG90" s="927"/>
      <c r="AH90" s="927"/>
      <c r="AI90" s="927"/>
      <c r="AJ90" s="927"/>
      <c r="AK90" s="927"/>
      <c r="AL90" s="927"/>
      <c r="AM90" s="927"/>
      <c r="AN90" s="927"/>
      <c r="AO90" s="927"/>
      <c r="AP90" s="927"/>
      <c r="AQ90" s="927"/>
    </row>
    <row r="91" spans="1:43" s="104" customFormat="1" ht="0.15" customHeight="1">
      <c r="A91" s="927">
        <v>2</v>
      </c>
      <c r="B91" s="927"/>
      <c r="C91" s="927"/>
      <c r="D91" s="927"/>
      <c r="E91" s="927"/>
      <c r="F91" s="927">
        <v>2040</v>
      </c>
      <c r="G91" s="927" t="b">
        <v>0</v>
      </c>
      <c r="H91" s="927"/>
      <c r="I91" s="927"/>
      <c r="J91" s="927"/>
      <c r="K91" s="927"/>
      <c r="L91" s="1019" t="s">
        <v>3209</v>
      </c>
      <c r="M91" s="1023"/>
      <c r="N91" s="1024"/>
      <c r="O91" s="1023"/>
      <c r="P91" s="1025"/>
      <c r="Q91" s="1024"/>
      <c r="R91" s="1025"/>
      <c r="S91" s="1025"/>
      <c r="T91" s="1024"/>
      <c r="U91" s="1024"/>
      <c r="V91" s="1026"/>
      <c r="W91" s="927"/>
      <c r="X91" s="927"/>
      <c r="Y91" s="927"/>
      <c r="Z91" s="927"/>
      <c r="AA91" s="927"/>
      <c r="AB91" s="927"/>
      <c r="AC91" s="927"/>
      <c r="AD91" s="927"/>
      <c r="AE91" s="927"/>
      <c r="AF91" s="927"/>
      <c r="AG91" s="927"/>
      <c r="AH91" s="927"/>
      <c r="AI91" s="927"/>
      <c r="AJ91" s="927"/>
      <c r="AK91" s="927"/>
      <c r="AL91" s="927"/>
      <c r="AM91" s="927"/>
      <c r="AN91" s="927"/>
      <c r="AO91" s="927"/>
      <c r="AP91" s="927"/>
      <c r="AQ91" s="927"/>
    </row>
    <row r="92" spans="1:43" s="104" customFormat="1" ht="0.15" customHeight="1">
      <c r="A92" s="927">
        <v>2</v>
      </c>
      <c r="B92" s="927"/>
      <c r="C92" s="927"/>
      <c r="D92" s="927"/>
      <c r="E92" s="927"/>
      <c r="F92" s="927">
        <v>2041</v>
      </c>
      <c r="G92" s="927" t="b">
        <v>0</v>
      </c>
      <c r="H92" s="927"/>
      <c r="I92" s="927"/>
      <c r="J92" s="927"/>
      <c r="K92" s="927"/>
      <c r="L92" s="1019" t="s">
        <v>3210</v>
      </c>
      <c r="M92" s="1023"/>
      <c r="N92" s="1024"/>
      <c r="O92" s="1023"/>
      <c r="P92" s="1025"/>
      <c r="Q92" s="1024"/>
      <c r="R92" s="1025"/>
      <c r="S92" s="1025"/>
      <c r="T92" s="1024"/>
      <c r="U92" s="1024"/>
      <c r="V92" s="1026"/>
      <c r="W92" s="927"/>
      <c r="X92" s="927"/>
      <c r="Y92" s="927"/>
      <c r="Z92" s="927"/>
      <c r="AA92" s="927"/>
      <c r="AB92" s="927"/>
      <c r="AC92" s="927"/>
      <c r="AD92" s="927"/>
      <c r="AE92" s="927"/>
      <c r="AF92" s="927"/>
      <c r="AG92" s="927"/>
      <c r="AH92" s="927"/>
      <c r="AI92" s="927"/>
      <c r="AJ92" s="927"/>
      <c r="AK92" s="927"/>
      <c r="AL92" s="927"/>
      <c r="AM92" s="927"/>
      <c r="AN92" s="927"/>
      <c r="AO92" s="927"/>
      <c r="AP92" s="927"/>
      <c r="AQ92" s="927"/>
    </row>
    <row r="93" spans="1:43" s="104" customFormat="1" ht="0.15" customHeight="1">
      <c r="A93" s="927">
        <v>2</v>
      </c>
      <c r="B93" s="927"/>
      <c r="C93" s="927"/>
      <c r="D93" s="927"/>
      <c r="E93" s="927"/>
      <c r="F93" s="927">
        <v>2042</v>
      </c>
      <c r="G93" s="927" t="b">
        <v>0</v>
      </c>
      <c r="H93" s="927"/>
      <c r="I93" s="927"/>
      <c r="J93" s="927"/>
      <c r="K93" s="927"/>
      <c r="L93" s="1019" t="s">
        <v>3211</v>
      </c>
      <c r="M93" s="1023"/>
      <c r="N93" s="1024"/>
      <c r="O93" s="1023"/>
      <c r="P93" s="1025"/>
      <c r="Q93" s="1024"/>
      <c r="R93" s="1025"/>
      <c r="S93" s="1025"/>
      <c r="T93" s="1024"/>
      <c r="U93" s="1024"/>
      <c r="V93" s="1026"/>
      <c r="W93" s="927"/>
      <c r="X93" s="927"/>
      <c r="Y93" s="927"/>
      <c r="Z93" s="927"/>
      <c r="AA93" s="927"/>
      <c r="AB93" s="927"/>
      <c r="AC93" s="927"/>
      <c r="AD93" s="927"/>
      <c r="AE93" s="927"/>
      <c r="AF93" s="927"/>
      <c r="AG93" s="927"/>
      <c r="AH93" s="927"/>
      <c r="AI93" s="927"/>
      <c r="AJ93" s="927"/>
      <c r="AK93" s="927"/>
      <c r="AL93" s="927"/>
      <c r="AM93" s="927"/>
      <c r="AN93" s="927"/>
      <c r="AO93" s="927"/>
      <c r="AP93" s="927"/>
      <c r="AQ93" s="927"/>
    </row>
    <row r="94" spans="1:43" s="104" customFormat="1" ht="0.15" customHeight="1">
      <c r="A94" s="927">
        <v>2</v>
      </c>
      <c r="B94" s="927"/>
      <c r="C94" s="927"/>
      <c r="D94" s="927"/>
      <c r="E94" s="927"/>
      <c r="F94" s="927">
        <v>2043</v>
      </c>
      <c r="G94" s="927" t="b">
        <v>0</v>
      </c>
      <c r="H94" s="927"/>
      <c r="I94" s="927"/>
      <c r="J94" s="927"/>
      <c r="K94" s="927"/>
      <c r="L94" s="1019" t="s">
        <v>3212</v>
      </c>
      <c r="M94" s="1023"/>
      <c r="N94" s="1024"/>
      <c r="O94" s="1023"/>
      <c r="P94" s="1025"/>
      <c r="Q94" s="1024"/>
      <c r="R94" s="1025"/>
      <c r="S94" s="1025"/>
      <c r="T94" s="1024"/>
      <c r="U94" s="1024"/>
      <c r="V94" s="1026"/>
      <c r="W94" s="927"/>
      <c r="X94" s="927"/>
      <c r="Y94" s="927"/>
      <c r="Z94" s="927"/>
      <c r="AA94" s="927"/>
      <c r="AB94" s="927"/>
      <c r="AC94" s="927"/>
      <c r="AD94" s="927"/>
      <c r="AE94" s="927"/>
      <c r="AF94" s="927"/>
      <c r="AG94" s="927"/>
      <c r="AH94" s="927"/>
      <c r="AI94" s="927"/>
      <c r="AJ94" s="927"/>
      <c r="AK94" s="927"/>
      <c r="AL94" s="927"/>
      <c r="AM94" s="927"/>
      <c r="AN94" s="927"/>
      <c r="AO94" s="927"/>
      <c r="AP94" s="927"/>
      <c r="AQ94" s="927"/>
    </row>
    <row r="95" spans="1:43" s="104" customFormat="1" ht="0.15" customHeight="1">
      <c r="A95" s="927">
        <v>2</v>
      </c>
      <c r="B95" s="927"/>
      <c r="C95" s="927"/>
      <c r="D95" s="927"/>
      <c r="E95" s="927"/>
      <c r="F95" s="927">
        <v>2044</v>
      </c>
      <c r="G95" s="927" t="b">
        <v>0</v>
      </c>
      <c r="H95" s="927"/>
      <c r="I95" s="927"/>
      <c r="J95" s="927"/>
      <c r="K95" s="927"/>
      <c r="L95" s="1019" t="s">
        <v>3213</v>
      </c>
      <c r="M95" s="1023"/>
      <c r="N95" s="1024"/>
      <c r="O95" s="1023"/>
      <c r="P95" s="1025"/>
      <c r="Q95" s="1024"/>
      <c r="R95" s="1025"/>
      <c r="S95" s="1025"/>
      <c r="T95" s="1024"/>
      <c r="U95" s="1024"/>
      <c r="V95" s="1026"/>
      <c r="W95" s="927"/>
      <c r="X95" s="927"/>
      <c r="Y95" s="927"/>
      <c r="Z95" s="927"/>
      <c r="AA95" s="927"/>
      <c r="AB95" s="927"/>
      <c r="AC95" s="927"/>
      <c r="AD95" s="927"/>
      <c r="AE95" s="927"/>
      <c r="AF95" s="927"/>
      <c r="AG95" s="927"/>
      <c r="AH95" s="927"/>
      <c r="AI95" s="927"/>
      <c r="AJ95" s="927"/>
      <c r="AK95" s="927"/>
      <c r="AL95" s="927"/>
      <c r="AM95" s="927"/>
      <c r="AN95" s="927"/>
      <c r="AO95" s="927"/>
      <c r="AP95" s="927"/>
      <c r="AQ95" s="927"/>
    </row>
    <row r="96" spans="1:43" s="104" customFormat="1" ht="0.15" customHeight="1">
      <c r="A96" s="927">
        <v>2</v>
      </c>
      <c r="B96" s="927"/>
      <c r="C96" s="927"/>
      <c r="D96" s="927"/>
      <c r="E96" s="927"/>
      <c r="F96" s="927">
        <v>2045</v>
      </c>
      <c r="G96" s="927" t="b">
        <v>0</v>
      </c>
      <c r="H96" s="927"/>
      <c r="I96" s="927"/>
      <c r="J96" s="927"/>
      <c r="K96" s="927"/>
      <c r="L96" s="1019" t="s">
        <v>3214</v>
      </c>
      <c r="M96" s="1023"/>
      <c r="N96" s="1024"/>
      <c r="O96" s="1023"/>
      <c r="P96" s="1025"/>
      <c r="Q96" s="1024"/>
      <c r="R96" s="1025"/>
      <c r="S96" s="1025"/>
      <c r="T96" s="1024"/>
      <c r="U96" s="1024"/>
      <c r="V96" s="1026"/>
      <c r="W96" s="927"/>
      <c r="X96" s="927"/>
      <c r="Y96" s="927"/>
      <c r="Z96" s="927"/>
      <c r="AA96" s="927"/>
      <c r="AB96" s="927"/>
      <c r="AC96" s="927"/>
      <c r="AD96" s="927"/>
      <c r="AE96" s="927"/>
      <c r="AF96" s="927"/>
      <c r="AG96" s="927"/>
      <c r="AH96" s="927"/>
      <c r="AI96" s="927"/>
      <c r="AJ96" s="927"/>
      <c r="AK96" s="927"/>
      <c r="AL96" s="927"/>
      <c r="AM96" s="927"/>
      <c r="AN96" s="927"/>
      <c r="AO96" s="927"/>
      <c r="AP96" s="927"/>
      <c r="AQ96" s="927"/>
    </row>
    <row r="97" spans="1:43" s="104" customFormat="1" ht="0.15" customHeight="1">
      <c r="A97" s="927">
        <v>2</v>
      </c>
      <c r="B97" s="927"/>
      <c r="C97" s="927"/>
      <c r="D97" s="927"/>
      <c r="E97" s="927"/>
      <c r="F97" s="927">
        <v>2046</v>
      </c>
      <c r="G97" s="927" t="b">
        <v>0</v>
      </c>
      <c r="H97" s="927"/>
      <c r="I97" s="927"/>
      <c r="J97" s="927"/>
      <c r="K97" s="927"/>
      <c r="L97" s="1019" t="s">
        <v>3215</v>
      </c>
      <c r="M97" s="1023"/>
      <c r="N97" s="1024"/>
      <c r="O97" s="1023"/>
      <c r="P97" s="1025"/>
      <c r="Q97" s="1024"/>
      <c r="R97" s="1025"/>
      <c r="S97" s="1025"/>
      <c r="T97" s="1024"/>
      <c r="U97" s="1024"/>
      <c r="V97" s="1026"/>
      <c r="W97" s="927"/>
      <c r="X97" s="927"/>
      <c r="Y97" s="927"/>
      <c r="Z97" s="927"/>
      <c r="AA97" s="927"/>
      <c r="AB97" s="927"/>
      <c r="AC97" s="927"/>
      <c r="AD97" s="927"/>
      <c r="AE97" s="927"/>
      <c r="AF97" s="927"/>
      <c r="AG97" s="927"/>
      <c r="AH97" s="927"/>
      <c r="AI97" s="927"/>
      <c r="AJ97" s="927"/>
      <c r="AK97" s="927"/>
      <c r="AL97" s="927"/>
      <c r="AM97" s="927"/>
      <c r="AN97" s="927"/>
      <c r="AO97" s="927"/>
      <c r="AP97" s="927"/>
      <c r="AQ97" s="927"/>
    </row>
    <row r="98" spans="1:43" s="104" customFormat="1" ht="0.15" customHeight="1">
      <c r="A98" s="927">
        <v>2</v>
      </c>
      <c r="B98" s="927"/>
      <c r="C98" s="927"/>
      <c r="D98" s="927"/>
      <c r="E98" s="927"/>
      <c r="F98" s="927">
        <v>2047</v>
      </c>
      <c r="G98" s="927" t="b">
        <v>0</v>
      </c>
      <c r="H98" s="927"/>
      <c r="I98" s="927"/>
      <c r="J98" s="927"/>
      <c r="K98" s="927"/>
      <c r="L98" s="1019" t="s">
        <v>3216</v>
      </c>
      <c r="M98" s="1023"/>
      <c r="N98" s="1024"/>
      <c r="O98" s="1023"/>
      <c r="P98" s="1025"/>
      <c r="Q98" s="1024"/>
      <c r="R98" s="1025"/>
      <c r="S98" s="1025"/>
      <c r="T98" s="1024"/>
      <c r="U98" s="1024"/>
      <c r="V98" s="1026"/>
      <c r="W98" s="927"/>
      <c r="X98" s="927"/>
      <c r="Y98" s="927"/>
      <c r="Z98" s="927"/>
      <c r="AA98" s="927"/>
      <c r="AB98" s="927"/>
      <c r="AC98" s="927"/>
      <c r="AD98" s="927"/>
      <c r="AE98" s="927"/>
      <c r="AF98" s="927"/>
      <c r="AG98" s="927"/>
      <c r="AH98" s="927"/>
      <c r="AI98" s="927"/>
      <c r="AJ98" s="927"/>
      <c r="AK98" s="927"/>
      <c r="AL98" s="927"/>
      <c r="AM98" s="927"/>
      <c r="AN98" s="927"/>
      <c r="AO98" s="927"/>
      <c r="AP98" s="927"/>
      <c r="AQ98" s="927"/>
    </row>
    <row r="99" spans="1:43" s="104" customFormat="1" ht="0.15" customHeight="1">
      <c r="A99" s="927">
        <v>2</v>
      </c>
      <c r="B99" s="927"/>
      <c r="C99" s="927"/>
      <c r="D99" s="927"/>
      <c r="E99" s="927"/>
      <c r="F99" s="927">
        <v>2048</v>
      </c>
      <c r="G99" s="927" t="b">
        <v>0</v>
      </c>
      <c r="H99" s="927"/>
      <c r="I99" s="927"/>
      <c r="J99" s="927"/>
      <c r="K99" s="927"/>
      <c r="L99" s="1019" t="s">
        <v>3217</v>
      </c>
      <c r="M99" s="1023"/>
      <c r="N99" s="1024"/>
      <c r="O99" s="1023"/>
      <c r="P99" s="1025"/>
      <c r="Q99" s="1024"/>
      <c r="R99" s="1025"/>
      <c r="S99" s="1025"/>
      <c r="T99" s="1024"/>
      <c r="U99" s="1024"/>
      <c r="V99" s="1026"/>
      <c r="W99" s="927"/>
      <c r="X99" s="927"/>
      <c r="Y99" s="927"/>
      <c r="Z99" s="927"/>
      <c r="AA99" s="927"/>
      <c r="AB99" s="927"/>
      <c r="AC99" s="927"/>
      <c r="AD99" s="927"/>
      <c r="AE99" s="927"/>
      <c r="AF99" s="927"/>
      <c r="AG99" s="927"/>
      <c r="AH99" s="927"/>
      <c r="AI99" s="927"/>
      <c r="AJ99" s="927"/>
      <c r="AK99" s="927"/>
      <c r="AL99" s="927"/>
      <c r="AM99" s="927"/>
      <c r="AN99" s="927"/>
      <c r="AO99" s="927"/>
      <c r="AP99" s="927"/>
      <c r="AQ99" s="927"/>
    </row>
    <row r="100" spans="1:43" s="104" customFormat="1" ht="0.15" customHeight="1">
      <c r="A100" s="927">
        <v>2</v>
      </c>
      <c r="B100" s="927"/>
      <c r="C100" s="927"/>
      <c r="D100" s="927"/>
      <c r="E100" s="927"/>
      <c r="F100" s="927">
        <v>2049</v>
      </c>
      <c r="G100" s="927" t="b">
        <v>0</v>
      </c>
      <c r="H100" s="927"/>
      <c r="I100" s="927"/>
      <c r="J100" s="927"/>
      <c r="K100" s="927"/>
      <c r="L100" s="1019" t="s">
        <v>3218</v>
      </c>
      <c r="M100" s="1023"/>
      <c r="N100" s="1024"/>
      <c r="O100" s="1023"/>
      <c r="P100" s="1025"/>
      <c r="Q100" s="1024"/>
      <c r="R100" s="1025"/>
      <c r="S100" s="1025"/>
      <c r="T100" s="1024"/>
      <c r="U100" s="1024"/>
      <c r="V100" s="1026"/>
      <c r="W100" s="927"/>
      <c r="X100" s="927"/>
      <c r="Y100" s="927"/>
      <c r="Z100" s="927"/>
      <c r="AA100" s="927"/>
      <c r="AB100" s="927"/>
      <c r="AC100" s="927"/>
      <c r="AD100" s="927"/>
      <c r="AE100" s="927"/>
      <c r="AF100" s="927"/>
      <c r="AG100" s="927"/>
      <c r="AH100" s="927"/>
      <c r="AI100" s="927"/>
      <c r="AJ100" s="927"/>
      <c r="AK100" s="927"/>
      <c r="AL100" s="927"/>
      <c r="AM100" s="927"/>
      <c r="AN100" s="927"/>
      <c r="AO100" s="927"/>
      <c r="AP100" s="927"/>
      <c r="AQ100" s="927"/>
    </row>
    <row r="101" spans="1:43" s="104" customFormat="1" ht="0.15" customHeight="1">
      <c r="A101" s="927">
        <v>2</v>
      </c>
      <c r="B101" s="927"/>
      <c r="C101" s="927"/>
      <c r="D101" s="927"/>
      <c r="E101" s="927"/>
      <c r="F101" s="927">
        <v>2050</v>
      </c>
      <c r="G101" s="927" t="b">
        <v>0</v>
      </c>
      <c r="H101" s="927"/>
      <c r="I101" s="927"/>
      <c r="J101" s="927"/>
      <c r="K101" s="927"/>
      <c r="L101" s="1019" t="s">
        <v>3219</v>
      </c>
      <c r="M101" s="1023"/>
      <c r="N101" s="1024"/>
      <c r="O101" s="1023"/>
      <c r="P101" s="1025"/>
      <c r="Q101" s="1024"/>
      <c r="R101" s="1025"/>
      <c r="S101" s="1025"/>
      <c r="T101" s="1024"/>
      <c r="U101" s="1024"/>
      <c r="V101" s="1026"/>
      <c r="W101" s="927"/>
      <c r="X101" s="927"/>
      <c r="Y101" s="927"/>
      <c r="Z101" s="927"/>
      <c r="AA101" s="927"/>
      <c r="AB101" s="927"/>
      <c r="AC101" s="927"/>
      <c r="AD101" s="927"/>
      <c r="AE101" s="927"/>
      <c r="AF101" s="927"/>
      <c r="AG101" s="927"/>
      <c r="AH101" s="927"/>
      <c r="AI101" s="927"/>
      <c r="AJ101" s="927"/>
      <c r="AK101" s="927"/>
      <c r="AL101" s="927"/>
      <c r="AM101" s="927"/>
      <c r="AN101" s="927"/>
      <c r="AO101" s="927"/>
      <c r="AP101" s="927"/>
      <c r="AQ101" s="927"/>
    </row>
    <row r="102" spans="1:43" s="104" customFormat="1" ht="0.15" customHeight="1">
      <c r="A102" s="927">
        <v>2</v>
      </c>
      <c r="B102" s="927"/>
      <c r="C102" s="927"/>
      <c r="D102" s="927"/>
      <c r="E102" s="927"/>
      <c r="F102" s="927">
        <v>2051</v>
      </c>
      <c r="G102" s="927" t="b">
        <v>0</v>
      </c>
      <c r="H102" s="927"/>
      <c r="I102" s="927"/>
      <c r="J102" s="927"/>
      <c r="K102" s="927"/>
      <c r="L102" s="1019" t="s">
        <v>3220</v>
      </c>
      <c r="M102" s="1023"/>
      <c r="N102" s="1024"/>
      <c r="O102" s="1023"/>
      <c r="P102" s="1025"/>
      <c r="Q102" s="1024"/>
      <c r="R102" s="1025"/>
      <c r="S102" s="1025"/>
      <c r="T102" s="1024"/>
      <c r="U102" s="1024"/>
      <c r="V102" s="1026"/>
      <c r="W102" s="927"/>
      <c r="X102" s="927"/>
      <c r="Y102" s="927"/>
      <c r="Z102" s="927"/>
      <c r="AA102" s="927"/>
      <c r="AB102" s="927"/>
      <c r="AC102" s="927"/>
      <c r="AD102" s="927"/>
      <c r="AE102" s="927"/>
      <c r="AF102" s="927"/>
      <c r="AG102" s="927"/>
      <c r="AH102" s="927"/>
      <c r="AI102" s="927"/>
      <c r="AJ102" s="927"/>
      <c r="AK102" s="927"/>
      <c r="AL102" s="927"/>
      <c r="AM102" s="927"/>
      <c r="AN102" s="927"/>
      <c r="AO102" s="927"/>
      <c r="AP102" s="927"/>
      <c r="AQ102" s="927"/>
    </row>
    <row r="103" spans="1:43" s="104" customFormat="1" ht="0.15" customHeight="1">
      <c r="A103" s="927">
        <v>2</v>
      </c>
      <c r="B103" s="927"/>
      <c r="C103" s="927"/>
      <c r="D103" s="927"/>
      <c r="E103" s="927"/>
      <c r="F103" s="927">
        <v>2052</v>
      </c>
      <c r="G103" s="927" t="b">
        <v>0</v>
      </c>
      <c r="H103" s="927"/>
      <c r="I103" s="927"/>
      <c r="J103" s="927"/>
      <c r="K103" s="927"/>
      <c r="L103" s="1019" t="s">
        <v>3221</v>
      </c>
      <c r="M103" s="1023"/>
      <c r="N103" s="1024"/>
      <c r="O103" s="1023"/>
      <c r="P103" s="1025"/>
      <c r="Q103" s="1024"/>
      <c r="R103" s="1025"/>
      <c r="S103" s="1025"/>
      <c r="T103" s="1024"/>
      <c r="U103" s="1024"/>
      <c r="V103" s="1026"/>
      <c r="W103" s="927"/>
      <c r="X103" s="927"/>
      <c r="Y103" s="927"/>
      <c r="Z103" s="927"/>
      <c r="AA103" s="927"/>
      <c r="AB103" s="927"/>
      <c r="AC103" s="927"/>
      <c r="AD103" s="927"/>
      <c r="AE103" s="927"/>
      <c r="AF103" s="927"/>
      <c r="AG103" s="927"/>
      <c r="AH103" s="927"/>
      <c r="AI103" s="927"/>
      <c r="AJ103" s="927"/>
      <c r="AK103" s="927"/>
      <c r="AL103" s="927"/>
      <c r="AM103" s="927"/>
      <c r="AN103" s="927"/>
      <c r="AO103" s="927"/>
      <c r="AP103" s="927"/>
      <c r="AQ103" s="927"/>
    </row>
    <row r="104" spans="1:43" s="104" customFormat="1" ht="0.15" customHeight="1">
      <c r="A104" s="927">
        <v>2</v>
      </c>
      <c r="B104" s="927"/>
      <c r="C104" s="927"/>
      <c r="D104" s="927"/>
      <c r="E104" s="927"/>
      <c r="F104" s="927">
        <v>2053</v>
      </c>
      <c r="G104" s="927" t="b">
        <v>0</v>
      </c>
      <c r="H104" s="927"/>
      <c r="I104" s="927"/>
      <c r="J104" s="927"/>
      <c r="K104" s="927"/>
      <c r="L104" s="1019" t="s">
        <v>3222</v>
      </c>
      <c r="M104" s="1023"/>
      <c r="N104" s="1024"/>
      <c r="O104" s="1023"/>
      <c r="P104" s="1025"/>
      <c r="Q104" s="1024"/>
      <c r="R104" s="1025"/>
      <c r="S104" s="1025"/>
      <c r="T104" s="1024"/>
      <c r="U104" s="1024"/>
      <c r="V104" s="1026"/>
      <c r="W104" s="927"/>
      <c r="X104" s="927"/>
      <c r="Y104" s="927"/>
      <c r="Z104" s="927"/>
      <c r="AA104" s="927"/>
      <c r="AB104" s="927"/>
      <c r="AC104" s="927"/>
      <c r="AD104" s="927"/>
      <c r="AE104" s="927"/>
      <c r="AF104" s="927"/>
      <c r="AG104" s="927"/>
      <c r="AH104" s="927"/>
      <c r="AI104" s="927"/>
      <c r="AJ104" s="927"/>
      <c r="AK104" s="927"/>
      <c r="AL104" s="927"/>
      <c r="AM104" s="927"/>
      <c r="AN104" s="927"/>
      <c r="AO104" s="927"/>
      <c r="AP104" s="927"/>
      <c r="AQ104" s="927"/>
    </row>
    <row r="105" spans="1:43" s="104" customFormat="1" ht="0.15" customHeight="1">
      <c r="A105" s="927">
        <v>2</v>
      </c>
      <c r="B105" s="927"/>
      <c r="C105" s="927"/>
      <c r="D105" s="927"/>
      <c r="E105" s="927"/>
      <c r="F105" s="927">
        <v>2054</v>
      </c>
      <c r="G105" s="927" t="b">
        <v>0</v>
      </c>
      <c r="H105" s="927"/>
      <c r="I105" s="927"/>
      <c r="J105" s="927"/>
      <c r="K105" s="927"/>
      <c r="L105" s="1019" t="s">
        <v>3223</v>
      </c>
      <c r="M105" s="1023"/>
      <c r="N105" s="1024"/>
      <c r="O105" s="1023"/>
      <c r="P105" s="1025"/>
      <c r="Q105" s="1024"/>
      <c r="R105" s="1025"/>
      <c r="S105" s="1025"/>
      <c r="T105" s="1024"/>
      <c r="U105" s="1024"/>
      <c r="V105" s="1026"/>
      <c r="W105" s="927"/>
      <c r="X105" s="927"/>
      <c r="Y105" s="927"/>
      <c r="Z105" s="927"/>
      <c r="AA105" s="927"/>
      <c r="AB105" s="927"/>
      <c r="AC105" s="927"/>
      <c r="AD105" s="927"/>
      <c r="AE105" s="927"/>
      <c r="AF105" s="927"/>
      <c r="AG105" s="927"/>
      <c r="AH105" s="927"/>
      <c r="AI105" s="927"/>
      <c r="AJ105" s="927"/>
      <c r="AK105" s="927"/>
      <c r="AL105" s="927"/>
      <c r="AM105" s="927"/>
      <c r="AN105" s="927"/>
      <c r="AO105" s="927"/>
      <c r="AP105" s="927"/>
      <c r="AQ105" s="927"/>
    </row>
    <row r="106" spans="1:43" s="104" customFormat="1" ht="0.15" customHeight="1">
      <c r="A106" s="927">
        <v>2</v>
      </c>
      <c r="B106" s="927"/>
      <c r="C106" s="927"/>
      <c r="D106" s="927"/>
      <c r="E106" s="927"/>
      <c r="F106" s="927">
        <v>2055</v>
      </c>
      <c r="G106" s="927" t="b">
        <v>0</v>
      </c>
      <c r="H106" s="927"/>
      <c r="I106" s="927"/>
      <c r="J106" s="927"/>
      <c r="K106" s="927"/>
      <c r="L106" s="1019" t="s">
        <v>3224</v>
      </c>
      <c r="M106" s="1023"/>
      <c r="N106" s="1024"/>
      <c r="O106" s="1023"/>
      <c r="P106" s="1025"/>
      <c r="Q106" s="1024"/>
      <c r="R106" s="1025"/>
      <c r="S106" s="1025"/>
      <c r="T106" s="1024"/>
      <c r="U106" s="1024"/>
      <c r="V106" s="1026"/>
      <c r="W106" s="927"/>
      <c r="X106" s="927"/>
      <c r="Y106" s="927"/>
      <c r="Z106" s="927"/>
      <c r="AA106" s="927"/>
      <c r="AB106" s="927"/>
      <c r="AC106" s="927"/>
      <c r="AD106" s="927"/>
      <c r="AE106" s="927"/>
      <c r="AF106" s="927"/>
      <c r="AG106" s="927"/>
      <c r="AH106" s="927"/>
      <c r="AI106" s="927"/>
      <c r="AJ106" s="927"/>
      <c r="AK106" s="927"/>
      <c r="AL106" s="927"/>
      <c r="AM106" s="927"/>
      <c r="AN106" s="927"/>
      <c r="AO106" s="927"/>
      <c r="AP106" s="927"/>
      <c r="AQ106" s="927"/>
    </row>
    <row r="107" spans="1:43" s="104" customFormat="1" ht="0.15" customHeight="1">
      <c r="A107" s="927">
        <v>2</v>
      </c>
      <c r="B107" s="927"/>
      <c r="C107" s="927"/>
      <c r="D107" s="927"/>
      <c r="E107" s="927"/>
      <c r="F107" s="927">
        <v>2056</v>
      </c>
      <c r="G107" s="927" t="b">
        <v>0</v>
      </c>
      <c r="H107" s="927"/>
      <c r="I107" s="927"/>
      <c r="J107" s="927"/>
      <c r="K107" s="927"/>
      <c r="L107" s="1019" t="s">
        <v>3225</v>
      </c>
      <c r="M107" s="1023"/>
      <c r="N107" s="1024"/>
      <c r="O107" s="1023"/>
      <c r="P107" s="1025"/>
      <c r="Q107" s="1024"/>
      <c r="R107" s="1025"/>
      <c r="S107" s="1025"/>
      <c r="T107" s="1024"/>
      <c r="U107" s="1024"/>
      <c r="V107" s="1026"/>
      <c r="W107" s="927"/>
      <c r="X107" s="927"/>
      <c r="Y107" s="927"/>
      <c r="Z107" s="927"/>
      <c r="AA107" s="927"/>
      <c r="AB107" s="927"/>
      <c r="AC107" s="927"/>
      <c r="AD107" s="927"/>
      <c r="AE107" s="927"/>
      <c r="AF107" s="927"/>
      <c r="AG107" s="927"/>
      <c r="AH107" s="927"/>
      <c r="AI107" s="927"/>
      <c r="AJ107" s="927"/>
      <c r="AK107" s="927"/>
      <c r="AL107" s="927"/>
      <c r="AM107" s="927"/>
      <c r="AN107" s="927"/>
      <c r="AO107" s="927"/>
      <c r="AP107" s="927"/>
      <c r="AQ107" s="927"/>
    </row>
    <row r="108" spans="1:43" s="104" customFormat="1" ht="0.15" customHeight="1">
      <c r="A108" s="927">
        <v>2</v>
      </c>
      <c r="B108" s="927"/>
      <c r="C108" s="927"/>
      <c r="D108" s="927"/>
      <c r="E108" s="927"/>
      <c r="F108" s="927">
        <v>2057</v>
      </c>
      <c r="G108" s="927" t="b">
        <v>0</v>
      </c>
      <c r="H108" s="927"/>
      <c r="I108" s="927"/>
      <c r="J108" s="927"/>
      <c r="K108" s="927"/>
      <c r="L108" s="1019" t="s">
        <v>3226</v>
      </c>
      <c r="M108" s="1023"/>
      <c r="N108" s="1024"/>
      <c r="O108" s="1023"/>
      <c r="P108" s="1025"/>
      <c r="Q108" s="1024"/>
      <c r="R108" s="1025"/>
      <c r="S108" s="1025"/>
      <c r="T108" s="1024"/>
      <c r="U108" s="1024"/>
      <c r="V108" s="1026"/>
      <c r="W108" s="927"/>
      <c r="X108" s="927"/>
      <c r="Y108" s="927"/>
      <c r="Z108" s="927"/>
      <c r="AA108" s="927"/>
      <c r="AB108" s="927"/>
      <c r="AC108" s="927"/>
      <c r="AD108" s="927"/>
      <c r="AE108" s="927"/>
      <c r="AF108" s="927"/>
      <c r="AG108" s="927"/>
      <c r="AH108" s="927"/>
      <c r="AI108" s="927"/>
      <c r="AJ108" s="927"/>
      <c r="AK108" s="927"/>
      <c r="AL108" s="927"/>
      <c r="AM108" s="927"/>
      <c r="AN108" s="927"/>
      <c r="AO108" s="927"/>
      <c r="AP108" s="927"/>
      <c r="AQ108" s="927"/>
    </row>
    <row r="109" spans="1:43" s="104" customFormat="1" ht="0.15" customHeight="1">
      <c r="A109" s="927">
        <v>2</v>
      </c>
      <c r="B109" s="927"/>
      <c r="C109" s="927"/>
      <c r="D109" s="927"/>
      <c r="E109" s="927"/>
      <c r="F109" s="927">
        <v>2058</v>
      </c>
      <c r="G109" s="927" t="b">
        <v>0</v>
      </c>
      <c r="H109" s="927"/>
      <c r="I109" s="927"/>
      <c r="J109" s="927"/>
      <c r="K109" s="927"/>
      <c r="L109" s="1019" t="s">
        <v>3227</v>
      </c>
      <c r="M109" s="1023"/>
      <c r="N109" s="1024"/>
      <c r="O109" s="1023"/>
      <c r="P109" s="1025"/>
      <c r="Q109" s="1024"/>
      <c r="R109" s="1025"/>
      <c r="S109" s="1025"/>
      <c r="T109" s="1024"/>
      <c r="U109" s="1024"/>
      <c r="V109" s="1026"/>
      <c r="W109" s="927"/>
      <c r="X109" s="927"/>
      <c r="Y109" s="927"/>
      <c r="Z109" s="927"/>
      <c r="AA109" s="927"/>
      <c r="AB109" s="927"/>
      <c r="AC109" s="927"/>
      <c r="AD109" s="927"/>
      <c r="AE109" s="927"/>
      <c r="AF109" s="927"/>
      <c r="AG109" s="927"/>
      <c r="AH109" s="927"/>
      <c r="AI109" s="927"/>
      <c r="AJ109" s="927"/>
      <c r="AK109" s="927"/>
      <c r="AL109" s="927"/>
      <c r="AM109" s="927"/>
      <c r="AN109" s="927"/>
      <c r="AO109" s="927"/>
      <c r="AP109" s="927"/>
      <c r="AQ109" s="927"/>
    </row>
    <row r="110" spans="1:43" s="104" customFormat="1" ht="0.15" customHeight="1">
      <c r="A110" s="927">
        <v>2</v>
      </c>
      <c r="B110" s="927"/>
      <c r="C110" s="927"/>
      <c r="D110" s="927"/>
      <c r="E110" s="927"/>
      <c r="F110" s="927">
        <v>2059</v>
      </c>
      <c r="G110" s="927" t="b">
        <v>0</v>
      </c>
      <c r="H110" s="927"/>
      <c r="I110" s="927"/>
      <c r="J110" s="927"/>
      <c r="K110" s="927"/>
      <c r="L110" s="1019" t="s">
        <v>3228</v>
      </c>
      <c r="M110" s="1023"/>
      <c r="N110" s="1024"/>
      <c r="O110" s="1023"/>
      <c r="P110" s="1025"/>
      <c r="Q110" s="1024"/>
      <c r="R110" s="1025"/>
      <c r="S110" s="1025"/>
      <c r="T110" s="1024"/>
      <c r="U110" s="1024"/>
      <c r="V110" s="1026"/>
      <c r="W110" s="927"/>
      <c r="X110" s="927"/>
      <c r="Y110" s="927"/>
      <c r="Z110" s="927"/>
      <c r="AA110" s="927"/>
      <c r="AB110" s="927"/>
      <c r="AC110" s="927"/>
      <c r="AD110" s="927"/>
      <c r="AE110" s="927"/>
      <c r="AF110" s="927"/>
      <c r="AG110" s="927"/>
      <c r="AH110" s="927"/>
      <c r="AI110" s="927"/>
      <c r="AJ110" s="927"/>
      <c r="AK110" s="927"/>
      <c r="AL110" s="927"/>
      <c r="AM110" s="927"/>
      <c r="AN110" s="927"/>
      <c r="AO110" s="927"/>
      <c r="AP110" s="927"/>
      <c r="AQ110" s="927"/>
    </row>
    <row r="111" spans="1:43" s="104" customFormat="1" ht="0.15" customHeight="1">
      <c r="A111" s="927">
        <v>2</v>
      </c>
      <c r="B111" s="927"/>
      <c r="C111" s="927"/>
      <c r="D111" s="927"/>
      <c r="E111" s="927"/>
      <c r="F111" s="927">
        <v>2060</v>
      </c>
      <c r="G111" s="927" t="b">
        <v>0</v>
      </c>
      <c r="H111" s="927"/>
      <c r="I111" s="927"/>
      <c r="J111" s="927"/>
      <c r="K111" s="927"/>
      <c r="L111" s="1019" t="s">
        <v>3229</v>
      </c>
      <c r="M111" s="1023"/>
      <c r="N111" s="1024"/>
      <c r="O111" s="1023"/>
      <c r="P111" s="1025"/>
      <c r="Q111" s="1024"/>
      <c r="R111" s="1025"/>
      <c r="S111" s="1025"/>
      <c r="T111" s="1024"/>
      <c r="U111" s="1024"/>
      <c r="V111" s="1026"/>
      <c r="W111" s="927"/>
      <c r="X111" s="927"/>
      <c r="Y111" s="927"/>
      <c r="Z111" s="927"/>
      <c r="AA111" s="927"/>
      <c r="AB111" s="927"/>
      <c r="AC111" s="927"/>
      <c r="AD111" s="927"/>
      <c r="AE111" s="927"/>
      <c r="AF111" s="927"/>
      <c r="AG111" s="927"/>
      <c r="AH111" s="927"/>
      <c r="AI111" s="927"/>
      <c r="AJ111" s="927"/>
      <c r="AK111" s="927"/>
      <c r="AL111" s="927"/>
      <c r="AM111" s="927"/>
      <c r="AN111" s="927"/>
      <c r="AO111" s="927"/>
      <c r="AP111" s="927"/>
      <c r="AQ111" s="927"/>
    </row>
    <row r="112" spans="1:43" s="104" customFormat="1" ht="0.15" customHeight="1">
      <c r="A112" s="927">
        <v>2</v>
      </c>
      <c r="B112" s="927"/>
      <c r="C112" s="927"/>
      <c r="D112" s="927"/>
      <c r="E112" s="927"/>
      <c r="F112" s="927">
        <v>2061</v>
      </c>
      <c r="G112" s="927" t="b">
        <v>0</v>
      </c>
      <c r="H112" s="927"/>
      <c r="I112" s="927"/>
      <c r="J112" s="927"/>
      <c r="K112" s="927"/>
      <c r="L112" s="1019" t="s">
        <v>3230</v>
      </c>
      <c r="M112" s="1023"/>
      <c r="N112" s="1024"/>
      <c r="O112" s="1023"/>
      <c r="P112" s="1025"/>
      <c r="Q112" s="1024"/>
      <c r="R112" s="1025"/>
      <c r="S112" s="1025"/>
      <c r="T112" s="1024"/>
      <c r="U112" s="1024"/>
      <c r="V112" s="1026"/>
      <c r="W112" s="927"/>
      <c r="X112" s="927"/>
      <c r="Y112" s="927"/>
      <c r="Z112" s="927"/>
      <c r="AA112" s="927"/>
      <c r="AB112" s="927"/>
      <c r="AC112" s="927"/>
      <c r="AD112" s="927"/>
      <c r="AE112" s="927"/>
      <c r="AF112" s="927"/>
      <c r="AG112" s="927"/>
      <c r="AH112" s="927"/>
      <c r="AI112" s="927"/>
      <c r="AJ112" s="927"/>
      <c r="AK112" s="927"/>
      <c r="AL112" s="927"/>
      <c r="AM112" s="927"/>
      <c r="AN112" s="927"/>
      <c r="AO112" s="927"/>
      <c r="AP112" s="927"/>
      <c r="AQ112" s="927"/>
    </row>
    <row r="113" spans="1:43" s="104" customFormat="1" ht="0.15" customHeight="1">
      <c r="A113" s="927">
        <v>2</v>
      </c>
      <c r="B113" s="927"/>
      <c r="C113" s="927"/>
      <c r="D113" s="927"/>
      <c r="E113" s="927"/>
      <c r="F113" s="927">
        <v>2062</v>
      </c>
      <c r="G113" s="927" t="b">
        <v>0</v>
      </c>
      <c r="H113" s="927"/>
      <c r="I113" s="927"/>
      <c r="J113" s="927"/>
      <c r="K113" s="927"/>
      <c r="L113" s="1019" t="s">
        <v>3231</v>
      </c>
      <c r="M113" s="1023"/>
      <c r="N113" s="1024"/>
      <c r="O113" s="1023"/>
      <c r="P113" s="1025"/>
      <c r="Q113" s="1024"/>
      <c r="R113" s="1025"/>
      <c r="S113" s="1025"/>
      <c r="T113" s="1024"/>
      <c r="U113" s="1024"/>
      <c r="V113" s="1026"/>
      <c r="W113" s="927"/>
      <c r="X113" s="927"/>
      <c r="Y113" s="927"/>
      <c r="Z113" s="927"/>
      <c r="AA113" s="927"/>
      <c r="AB113" s="927"/>
      <c r="AC113" s="927"/>
      <c r="AD113" s="927"/>
      <c r="AE113" s="927"/>
      <c r="AF113" s="927"/>
      <c r="AG113" s="927"/>
      <c r="AH113" s="927"/>
      <c r="AI113" s="927"/>
      <c r="AJ113" s="927"/>
      <c r="AK113" s="927"/>
      <c r="AL113" s="927"/>
      <c r="AM113" s="927"/>
      <c r="AN113" s="927"/>
      <c r="AO113" s="927"/>
      <c r="AP113" s="927"/>
      <c r="AQ113" s="927"/>
    </row>
    <row r="114" spans="1:43" s="104" customFormat="1" ht="0.15" customHeight="1">
      <c r="A114" s="927">
        <v>2</v>
      </c>
      <c r="B114" s="927"/>
      <c r="C114" s="927"/>
      <c r="D114" s="927"/>
      <c r="E114" s="927"/>
      <c r="F114" s="927">
        <v>2063</v>
      </c>
      <c r="G114" s="927" t="b">
        <v>0</v>
      </c>
      <c r="H114" s="927"/>
      <c r="I114" s="927"/>
      <c r="J114" s="927"/>
      <c r="K114" s="927"/>
      <c r="L114" s="1019" t="s">
        <v>3232</v>
      </c>
      <c r="M114" s="1023"/>
      <c r="N114" s="1024"/>
      <c r="O114" s="1023"/>
      <c r="P114" s="1025"/>
      <c r="Q114" s="1024"/>
      <c r="R114" s="1025"/>
      <c r="S114" s="1025"/>
      <c r="T114" s="1024"/>
      <c r="U114" s="1024"/>
      <c r="V114" s="1026"/>
      <c r="W114" s="927"/>
      <c r="X114" s="927"/>
      <c r="Y114" s="927"/>
      <c r="Z114" s="927"/>
      <c r="AA114" s="927"/>
      <c r="AB114" s="927"/>
      <c r="AC114" s="927"/>
      <c r="AD114" s="927"/>
      <c r="AE114" s="927"/>
      <c r="AF114" s="927"/>
      <c r="AG114" s="927"/>
      <c r="AH114" s="927"/>
      <c r="AI114" s="927"/>
      <c r="AJ114" s="927"/>
      <c r="AK114" s="927"/>
      <c r="AL114" s="927"/>
      <c r="AM114" s="927"/>
      <c r="AN114" s="927"/>
      <c r="AO114" s="927"/>
      <c r="AP114" s="927"/>
      <c r="AQ114" s="927"/>
    </row>
    <row r="115" spans="1:43" s="104" customFormat="1" ht="0.15" customHeight="1">
      <c r="A115" s="927">
        <v>2</v>
      </c>
      <c r="B115" s="927"/>
      <c r="C115" s="927"/>
      <c r="D115" s="927"/>
      <c r="E115" s="927"/>
      <c r="F115" s="927">
        <v>2064</v>
      </c>
      <c r="G115" s="927" t="b">
        <v>0</v>
      </c>
      <c r="H115" s="927"/>
      <c r="I115" s="927"/>
      <c r="J115" s="927"/>
      <c r="K115" s="927"/>
      <c r="L115" s="1019" t="s">
        <v>3233</v>
      </c>
      <c r="M115" s="1023"/>
      <c r="N115" s="1024"/>
      <c r="O115" s="1023"/>
      <c r="P115" s="1025"/>
      <c r="Q115" s="1024"/>
      <c r="R115" s="1025"/>
      <c r="S115" s="1025"/>
      <c r="T115" s="1024"/>
      <c r="U115" s="1024"/>
      <c r="V115" s="1026"/>
      <c r="W115" s="927"/>
      <c r="X115" s="927"/>
      <c r="Y115" s="927"/>
      <c r="Z115" s="927"/>
      <c r="AA115" s="927"/>
      <c r="AB115" s="927"/>
      <c r="AC115" s="927"/>
      <c r="AD115" s="927"/>
      <c r="AE115" s="927"/>
      <c r="AF115" s="927"/>
      <c r="AG115" s="927"/>
      <c r="AH115" s="927"/>
      <c r="AI115" s="927"/>
      <c r="AJ115" s="927"/>
      <c r="AK115" s="927"/>
      <c r="AL115" s="927"/>
      <c r="AM115" s="927"/>
      <c r="AN115" s="927"/>
      <c r="AO115" s="927"/>
      <c r="AP115" s="927"/>
      <c r="AQ115" s="927"/>
    </row>
    <row r="116" spans="1:43" s="104" customFormat="1" ht="0.15" customHeight="1">
      <c r="A116" s="927">
        <v>2</v>
      </c>
      <c r="B116" s="927"/>
      <c r="C116" s="927"/>
      <c r="D116" s="927"/>
      <c r="E116" s="927"/>
      <c r="F116" s="927">
        <v>2065</v>
      </c>
      <c r="G116" s="927" t="b">
        <v>0</v>
      </c>
      <c r="H116" s="927"/>
      <c r="I116" s="927"/>
      <c r="J116" s="927"/>
      <c r="K116" s="927"/>
      <c r="L116" s="1019" t="s">
        <v>3234</v>
      </c>
      <c r="M116" s="1023"/>
      <c r="N116" s="1024"/>
      <c r="O116" s="1023"/>
      <c r="P116" s="1025"/>
      <c r="Q116" s="1024"/>
      <c r="R116" s="1025"/>
      <c r="S116" s="1025"/>
      <c r="T116" s="1024"/>
      <c r="U116" s="1024"/>
      <c r="V116" s="1026"/>
      <c r="W116" s="927"/>
      <c r="X116" s="927"/>
      <c r="Y116" s="927"/>
      <c r="Z116" s="927"/>
      <c r="AA116" s="927"/>
      <c r="AB116" s="927"/>
      <c r="AC116" s="927"/>
      <c r="AD116" s="927"/>
      <c r="AE116" s="927"/>
      <c r="AF116" s="927"/>
      <c r="AG116" s="927"/>
      <c r="AH116" s="927"/>
      <c r="AI116" s="927"/>
      <c r="AJ116" s="927"/>
      <c r="AK116" s="927"/>
      <c r="AL116" s="927"/>
      <c r="AM116" s="927"/>
      <c r="AN116" s="927"/>
      <c r="AO116" s="927"/>
      <c r="AP116" s="927"/>
      <c r="AQ116" s="927"/>
    </row>
    <row r="117" spans="1:43" s="104" customFormat="1" ht="0.15" customHeight="1">
      <c r="A117" s="927">
        <v>2</v>
      </c>
      <c r="B117" s="927"/>
      <c r="C117" s="927"/>
      <c r="D117" s="927"/>
      <c r="E117" s="927"/>
      <c r="F117" s="927">
        <v>2066</v>
      </c>
      <c r="G117" s="927" t="b">
        <v>0</v>
      </c>
      <c r="H117" s="927"/>
      <c r="I117" s="927"/>
      <c r="J117" s="927"/>
      <c r="K117" s="927"/>
      <c r="L117" s="1019" t="s">
        <v>3235</v>
      </c>
      <c r="M117" s="1023"/>
      <c r="N117" s="1024"/>
      <c r="O117" s="1023"/>
      <c r="P117" s="1025"/>
      <c r="Q117" s="1024"/>
      <c r="R117" s="1025"/>
      <c r="S117" s="1025"/>
      <c r="T117" s="1024"/>
      <c r="U117" s="1024"/>
      <c r="V117" s="1026"/>
      <c r="W117" s="927"/>
      <c r="X117" s="927"/>
      <c r="Y117" s="927"/>
      <c r="Z117" s="927"/>
      <c r="AA117" s="927"/>
      <c r="AB117" s="927"/>
      <c r="AC117" s="927"/>
      <c r="AD117" s="927"/>
      <c r="AE117" s="927"/>
      <c r="AF117" s="927"/>
      <c r="AG117" s="927"/>
      <c r="AH117" s="927"/>
      <c r="AI117" s="927"/>
      <c r="AJ117" s="927"/>
      <c r="AK117" s="927"/>
      <c r="AL117" s="927"/>
      <c r="AM117" s="927"/>
      <c r="AN117" s="927"/>
      <c r="AO117" s="927"/>
      <c r="AP117" s="927"/>
      <c r="AQ117" s="927"/>
    </row>
    <row r="118" spans="1:43" s="104" customFormat="1" ht="0.15" customHeight="1">
      <c r="A118" s="927">
        <v>2</v>
      </c>
      <c r="B118" s="927"/>
      <c r="C118" s="927"/>
      <c r="D118" s="927"/>
      <c r="E118" s="927"/>
      <c r="F118" s="927">
        <v>2067</v>
      </c>
      <c r="G118" s="927" t="b">
        <v>0</v>
      </c>
      <c r="H118" s="927"/>
      <c r="I118" s="927"/>
      <c r="J118" s="927"/>
      <c r="K118" s="927"/>
      <c r="L118" s="1019" t="s">
        <v>3236</v>
      </c>
      <c r="M118" s="1023"/>
      <c r="N118" s="1024"/>
      <c r="O118" s="1023"/>
      <c r="P118" s="1025"/>
      <c r="Q118" s="1024"/>
      <c r="R118" s="1025"/>
      <c r="S118" s="1025"/>
      <c r="T118" s="1024"/>
      <c r="U118" s="1024"/>
      <c r="V118" s="1026"/>
      <c r="W118" s="927"/>
      <c r="X118" s="927"/>
      <c r="Y118" s="927"/>
      <c r="Z118" s="927"/>
      <c r="AA118" s="927"/>
      <c r="AB118" s="927"/>
      <c r="AC118" s="927"/>
      <c r="AD118" s="927"/>
      <c r="AE118" s="927"/>
      <c r="AF118" s="927"/>
      <c r="AG118" s="927"/>
      <c r="AH118" s="927"/>
      <c r="AI118" s="927"/>
      <c r="AJ118" s="927"/>
      <c r="AK118" s="927"/>
      <c r="AL118" s="927"/>
      <c r="AM118" s="927"/>
      <c r="AN118" s="927"/>
      <c r="AO118" s="927"/>
      <c r="AP118" s="927"/>
      <c r="AQ118" s="927"/>
    </row>
    <row r="119" spans="1:43" s="104" customFormat="1" ht="0.15" customHeight="1">
      <c r="A119" s="927">
        <v>2</v>
      </c>
      <c r="B119" s="927"/>
      <c r="C119" s="927"/>
      <c r="D119" s="927"/>
      <c r="E119" s="927"/>
      <c r="F119" s="927">
        <v>2068</v>
      </c>
      <c r="G119" s="927" t="b">
        <v>0</v>
      </c>
      <c r="H119" s="927"/>
      <c r="I119" s="927"/>
      <c r="J119" s="927"/>
      <c r="K119" s="927"/>
      <c r="L119" s="1019" t="s">
        <v>3237</v>
      </c>
      <c r="M119" s="1023"/>
      <c r="N119" s="1024"/>
      <c r="O119" s="1023"/>
      <c r="P119" s="1025"/>
      <c r="Q119" s="1024"/>
      <c r="R119" s="1025"/>
      <c r="S119" s="1025"/>
      <c r="T119" s="1024"/>
      <c r="U119" s="1024"/>
      <c r="V119" s="1026"/>
      <c r="W119" s="927"/>
      <c r="X119" s="927"/>
      <c r="Y119" s="927"/>
      <c r="Z119" s="927"/>
      <c r="AA119" s="927"/>
      <c r="AB119" s="927"/>
      <c r="AC119" s="927"/>
      <c r="AD119" s="927"/>
      <c r="AE119" s="927"/>
      <c r="AF119" s="927"/>
      <c r="AG119" s="927"/>
      <c r="AH119" s="927"/>
      <c r="AI119" s="927"/>
      <c r="AJ119" s="927"/>
      <c r="AK119" s="927"/>
      <c r="AL119" s="927"/>
      <c r="AM119" s="927"/>
      <c r="AN119" s="927"/>
      <c r="AO119" s="927"/>
      <c r="AP119" s="927"/>
      <c r="AQ119" s="927"/>
    </row>
    <row r="120" spans="1:43" s="104" customFormat="1" ht="0.15" customHeight="1">
      <c r="A120" s="927">
        <v>2</v>
      </c>
      <c r="B120" s="927"/>
      <c r="C120" s="927"/>
      <c r="D120" s="927"/>
      <c r="E120" s="927"/>
      <c r="F120" s="927">
        <v>2069</v>
      </c>
      <c r="G120" s="927" t="b">
        <v>0</v>
      </c>
      <c r="H120" s="927"/>
      <c r="I120" s="927"/>
      <c r="J120" s="927"/>
      <c r="K120" s="927"/>
      <c r="L120" s="1019" t="s">
        <v>3238</v>
      </c>
      <c r="M120" s="1023"/>
      <c r="N120" s="1024"/>
      <c r="O120" s="1023"/>
      <c r="P120" s="1025"/>
      <c r="Q120" s="1024"/>
      <c r="R120" s="1025"/>
      <c r="S120" s="1025"/>
      <c r="T120" s="1024"/>
      <c r="U120" s="1024"/>
      <c r="V120" s="1026"/>
      <c r="W120" s="927"/>
      <c r="X120" s="927"/>
      <c r="Y120" s="927"/>
      <c r="Z120" s="927"/>
      <c r="AA120" s="927"/>
      <c r="AB120" s="927"/>
      <c r="AC120" s="927"/>
      <c r="AD120" s="927"/>
      <c r="AE120" s="927"/>
      <c r="AF120" s="927"/>
      <c r="AG120" s="927"/>
      <c r="AH120" s="927"/>
      <c r="AI120" s="927"/>
      <c r="AJ120" s="927"/>
      <c r="AK120" s="927"/>
      <c r="AL120" s="927"/>
      <c r="AM120" s="927"/>
      <c r="AN120" s="927"/>
      <c r="AO120" s="927"/>
      <c r="AP120" s="927"/>
      <c r="AQ120" s="927"/>
    </row>
    <row r="121" spans="1:43">
      <c r="A121" s="911"/>
      <c r="B121" s="911"/>
      <c r="C121" s="911"/>
      <c r="D121" s="911"/>
      <c r="E121" s="911"/>
      <c r="F121" s="911"/>
      <c r="G121" s="911"/>
      <c r="H121" s="911"/>
      <c r="I121" s="911"/>
      <c r="J121" s="911"/>
      <c r="K121" s="911"/>
      <c r="L121" s="988"/>
      <c r="M121" s="911"/>
      <c r="N121" s="911"/>
      <c r="O121" s="911"/>
      <c r="P121" s="911"/>
      <c r="Q121" s="911"/>
      <c r="R121" s="911"/>
      <c r="S121" s="911"/>
      <c r="T121" s="911"/>
      <c r="U121" s="911"/>
      <c r="V121" s="911"/>
      <c r="W121" s="911"/>
      <c r="X121" s="911"/>
      <c r="Y121" s="911"/>
      <c r="Z121" s="911"/>
      <c r="AA121" s="911"/>
      <c r="AB121" s="911"/>
      <c r="AC121" s="911"/>
      <c r="AD121" s="911"/>
      <c r="AE121" s="911"/>
      <c r="AF121" s="911"/>
      <c r="AG121" s="911"/>
      <c r="AH121" s="911"/>
      <c r="AI121" s="911"/>
      <c r="AJ121" s="911"/>
      <c r="AK121" s="911"/>
      <c r="AL121" s="911"/>
      <c r="AM121" s="911"/>
      <c r="AN121" s="911"/>
      <c r="AO121" s="911"/>
      <c r="AP121" s="911"/>
      <c r="AQ121" s="911"/>
    </row>
    <row r="122" spans="1:43" ht="15" customHeight="1">
      <c r="A122" s="911"/>
      <c r="B122" s="911"/>
      <c r="C122" s="911"/>
      <c r="D122" s="911"/>
      <c r="E122" s="911"/>
      <c r="F122" s="911"/>
      <c r="G122" s="911"/>
      <c r="H122" s="911"/>
      <c r="I122" s="911"/>
      <c r="J122" s="911"/>
      <c r="K122" s="911"/>
      <c r="L122" s="1183" t="s">
        <v>1367</v>
      </c>
      <c r="M122" s="1183"/>
      <c r="N122" s="1183"/>
      <c r="O122" s="1183"/>
      <c r="P122" s="1183"/>
      <c r="Q122" s="1183"/>
      <c r="R122" s="1183"/>
      <c r="S122" s="1183"/>
      <c r="T122" s="1183"/>
      <c r="U122" s="1184"/>
      <c r="V122" s="1027"/>
      <c r="W122" s="911"/>
      <c r="X122" s="911"/>
      <c r="Y122" s="911"/>
      <c r="Z122" s="911"/>
      <c r="AA122" s="911"/>
      <c r="AB122" s="911"/>
      <c r="AC122" s="911"/>
      <c r="AD122" s="911"/>
      <c r="AE122" s="911"/>
      <c r="AF122" s="911"/>
      <c r="AG122" s="911"/>
      <c r="AH122" s="911"/>
      <c r="AI122" s="911"/>
      <c r="AJ122" s="911"/>
      <c r="AK122" s="911"/>
      <c r="AL122" s="911"/>
      <c r="AM122" s="911"/>
      <c r="AN122" s="911"/>
      <c r="AO122" s="911"/>
      <c r="AP122" s="911"/>
      <c r="AQ122" s="911"/>
    </row>
    <row r="123" spans="1:43" ht="15" customHeight="1">
      <c r="A123" s="911"/>
      <c r="B123" s="911"/>
      <c r="C123" s="911"/>
      <c r="D123" s="911"/>
      <c r="E123" s="911"/>
      <c r="F123" s="911"/>
      <c r="G123" s="911"/>
      <c r="H123" s="911"/>
      <c r="I123" s="911"/>
      <c r="J123" s="911"/>
      <c r="K123" s="662"/>
      <c r="L123" s="1185"/>
      <c r="M123" s="1185"/>
      <c r="N123" s="1185"/>
      <c r="O123" s="1185"/>
      <c r="P123" s="1185"/>
      <c r="Q123" s="1185"/>
      <c r="R123" s="1185"/>
      <c r="S123" s="1185"/>
      <c r="T123" s="1185"/>
      <c r="U123" s="1186"/>
      <c r="V123" s="1027"/>
      <c r="W123" s="911"/>
      <c r="X123" s="911"/>
      <c r="Y123" s="911"/>
      <c r="Z123" s="911"/>
      <c r="AA123" s="911"/>
      <c r="AB123" s="911"/>
      <c r="AC123" s="911"/>
      <c r="AD123" s="911"/>
      <c r="AE123" s="911"/>
      <c r="AF123" s="911"/>
      <c r="AG123" s="911"/>
      <c r="AH123" s="911"/>
      <c r="AI123" s="911"/>
      <c r="AJ123" s="911"/>
      <c r="AK123" s="911"/>
      <c r="AL123" s="911"/>
      <c r="AM123" s="911"/>
      <c r="AN123" s="911"/>
      <c r="AO123" s="911"/>
      <c r="AP123" s="911"/>
      <c r="AQ123" s="911"/>
    </row>
  </sheetData>
  <sheetProtection formatColumns="0" formatRows="0" autoFilter="0"/>
  <mergeCells count="8">
    <mergeCell ref="L14:O14"/>
    <mergeCell ref="L122:U122"/>
    <mergeCell ref="L123:U123"/>
    <mergeCell ref="L16:L18"/>
    <mergeCell ref="M16:M17"/>
    <mergeCell ref="N16:N17"/>
    <mergeCell ref="O16:O17"/>
    <mergeCell ref="P16:U16"/>
  </mergeCells>
  <dataValidations count="2">
    <dataValidation type="list" allowBlank="1" showInputMessage="1" showErrorMessage="1" errorTitle="Внимание" error="Пожалуйста, выберите значение из списка!" sqref="P14">
      <formula1>YES_NO</formula1>
    </dataValidation>
    <dataValidation type="decimal" allowBlank="1" showErrorMessage="1" errorTitle="Ошибка" error="Допускается ввод только неотрицательных чисел!" sqref="O20:O69 O71:O120">
      <formula1>0</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75" firstPageNumber="16" fitToWidth="0" orientation="landscape" useFirstPageNumber="1" r:id="rId1"/>
  <headerFooter>
    <oddFooter>&amp;C&amp;A
&amp;P из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002060"/>
    <outlinePr summaryBelow="0" summaryRight="0"/>
  </sheetPr>
  <dimension ref="A1:AM21"/>
  <sheetViews>
    <sheetView showGridLines="0" view="pageBreakPreview" zoomScale="70" zoomScaleNormal="100" zoomScaleSheetLayoutView="70" workbookViewId="0">
      <pane xSplit="12" ySplit="16" topLeftCell="M17" activePane="bottomRight" state="frozen"/>
      <selection activeCell="M11" sqref="M11"/>
      <selection pane="topRight" activeCell="M11" sqref="M11"/>
      <selection pane="bottomLeft" activeCell="M11" sqref="M11"/>
      <selection pane="bottomRight"/>
    </sheetView>
  </sheetViews>
  <sheetFormatPr defaultColWidth="9.125" defaultRowHeight="11.4"/>
  <cols>
    <col min="1" max="5" width="2.75" style="291" hidden="1" customWidth="1"/>
    <col min="6" max="6" width="5.25" style="291" hidden="1" customWidth="1"/>
    <col min="7" max="7" width="12" style="291" hidden="1" customWidth="1"/>
    <col min="8" max="10" width="2.75" style="291" hidden="1" customWidth="1"/>
    <col min="11" max="11" width="3.75" style="291" hidden="1" customWidth="1"/>
    <col min="12" max="12" width="15.375" style="290" customWidth="1"/>
    <col min="13" max="16" width="14.875" style="291" customWidth="1"/>
    <col min="17" max="17" width="14.875" style="509" customWidth="1"/>
    <col min="18" max="20" width="23.75" style="509" hidden="1" customWidth="1"/>
    <col min="21" max="21" width="25.75" style="291" hidden="1" customWidth="1"/>
    <col min="22" max="24" width="14.875" style="291" customWidth="1"/>
    <col min="25" max="16384" width="9.125" style="291"/>
  </cols>
  <sheetData>
    <row r="1" spans="1:39" hidden="1">
      <c r="A1" s="911"/>
      <c r="B1" s="911"/>
      <c r="C1" s="911"/>
      <c r="D1" s="911"/>
      <c r="E1" s="911"/>
      <c r="F1" s="911"/>
      <c r="G1" s="911"/>
      <c r="H1" s="911"/>
      <c r="I1" s="911"/>
      <c r="J1" s="911"/>
      <c r="K1" s="911"/>
      <c r="L1" s="988"/>
      <c r="M1" s="911" t="s">
        <v>1406</v>
      </c>
      <c r="N1" s="911" t="s">
        <v>1438</v>
      </c>
      <c r="O1" s="911" t="s">
        <v>1442</v>
      </c>
      <c r="P1" s="911" t="s">
        <v>1598</v>
      </c>
      <c r="Q1" s="911" t="s">
        <v>1619</v>
      </c>
      <c r="R1" s="911" t="s">
        <v>1620</v>
      </c>
      <c r="S1" s="911" t="s">
        <v>1621</v>
      </c>
      <c r="T1" s="911" t="s">
        <v>1622</v>
      </c>
      <c r="U1" s="911" t="s">
        <v>1623</v>
      </c>
      <c r="V1" s="911"/>
      <c r="W1" s="911"/>
      <c r="X1" s="911"/>
      <c r="Y1" s="911"/>
      <c r="Z1" s="911"/>
      <c r="AA1" s="911"/>
      <c r="AB1" s="911"/>
      <c r="AC1" s="911"/>
      <c r="AD1" s="911"/>
      <c r="AE1" s="911"/>
      <c r="AF1" s="911"/>
      <c r="AG1" s="911"/>
      <c r="AH1" s="911"/>
      <c r="AI1" s="911"/>
      <c r="AJ1" s="911"/>
      <c r="AK1" s="911"/>
      <c r="AL1" s="911"/>
      <c r="AM1" s="911"/>
    </row>
    <row r="2" spans="1:39" hidden="1">
      <c r="A2" s="911"/>
      <c r="B2" s="911"/>
      <c r="C2" s="911"/>
      <c r="D2" s="911"/>
      <c r="E2" s="911"/>
      <c r="F2" s="911"/>
      <c r="G2" s="911"/>
      <c r="H2" s="911"/>
      <c r="I2" s="911"/>
      <c r="J2" s="911"/>
      <c r="K2" s="911"/>
      <c r="L2" s="988"/>
      <c r="M2" s="911"/>
      <c r="N2" s="911"/>
      <c r="O2" s="911"/>
      <c r="P2" s="911"/>
      <c r="Q2" s="911"/>
      <c r="R2" s="911"/>
      <c r="S2" s="911"/>
      <c r="T2" s="911"/>
      <c r="U2" s="911"/>
      <c r="V2" s="911"/>
      <c r="W2" s="911"/>
      <c r="X2" s="911"/>
      <c r="Y2" s="911"/>
      <c r="Z2" s="911"/>
      <c r="AA2" s="911"/>
      <c r="AB2" s="911"/>
      <c r="AC2" s="911"/>
      <c r="AD2" s="911"/>
      <c r="AE2" s="911"/>
      <c r="AF2" s="911"/>
      <c r="AG2" s="911"/>
      <c r="AH2" s="911"/>
      <c r="AI2" s="911"/>
      <c r="AJ2" s="911"/>
      <c r="AK2" s="911"/>
      <c r="AL2" s="911"/>
      <c r="AM2" s="911"/>
    </row>
    <row r="3" spans="1:39" hidden="1">
      <c r="A3" s="911"/>
      <c r="B3" s="911"/>
      <c r="C3" s="911"/>
      <c r="D3" s="911"/>
      <c r="E3" s="911"/>
      <c r="F3" s="911"/>
      <c r="G3" s="911"/>
      <c r="H3" s="911"/>
      <c r="I3" s="911"/>
      <c r="J3" s="911"/>
      <c r="K3" s="911"/>
      <c r="L3" s="988"/>
      <c r="M3" s="911"/>
      <c r="N3" s="911"/>
      <c r="O3" s="911"/>
      <c r="P3" s="911"/>
      <c r="Q3" s="911"/>
      <c r="R3" s="911"/>
      <c r="S3" s="911"/>
      <c r="T3" s="911"/>
      <c r="U3" s="911"/>
      <c r="V3" s="911"/>
      <c r="W3" s="911"/>
      <c r="X3" s="911"/>
      <c r="Y3" s="911"/>
      <c r="Z3" s="911"/>
      <c r="AA3" s="911"/>
      <c r="AB3" s="911"/>
      <c r="AC3" s="911"/>
      <c r="AD3" s="911"/>
      <c r="AE3" s="911"/>
      <c r="AF3" s="911"/>
      <c r="AG3" s="911"/>
      <c r="AH3" s="911"/>
      <c r="AI3" s="911"/>
      <c r="AJ3" s="911"/>
      <c r="AK3" s="911"/>
      <c r="AL3" s="911"/>
      <c r="AM3" s="911"/>
    </row>
    <row r="4" spans="1:39" hidden="1">
      <c r="A4" s="911"/>
      <c r="B4" s="911"/>
      <c r="C4" s="911"/>
      <c r="D4" s="911"/>
      <c r="E4" s="911"/>
      <c r="F4" s="911"/>
      <c r="G4" s="911"/>
      <c r="H4" s="911"/>
      <c r="I4" s="911"/>
      <c r="J4" s="911"/>
      <c r="K4" s="911"/>
      <c r="L4" s="988"/>
      <c r="M4" s="911"/>
      <c r="N4" s="911"/>
      <c r="O4" s="911"/>
      <c r="P4" s="911"/>
      <c r="Q4" s="911"/>
      <c r="R4" s="911"/>
      <c r="S4" s="911"/>
      <c r="T4" s="911"/>
      <c r="U4" s="911"/>
      <c r="V4" s="911"/>
      <c r="W4" s="911"/>
      <c r="X4" s="911"/>
      <c r="Y4" s="911"/>
      <c r="Z4" s="911"/>
      <c r="AA4" s="911"/>
      <c r="AB4" s="911"/>
      <c r="AC4" s="911"/>
      <c r="AD4" s="911"/>
      <c r="AE4" s="911"/>
      <c r="AF4" s="911"/>
      <c r="AG4" s="911"/>
      <c r="AH4" s="911"/>
      <c r="AI4" s="911"/>
      <c r="AJ4" s="911"/>
      <c r="AK4" s="911"/>
      <c r="AL4" s="911"/>
      <c r="AM4" s="911"/>
    </row>
    <row r="5" spans="1:39" hidden="1">
      <c r="A5" s="911"/>
      <c r="B5" s="911"/>
      <c r="C5" s="911"/>
      <c r="D5" s="911"/>
      <c r="E5" s="911"/>
      <c r="F5" s="911"/>
      <c r="G5" s="911"/>
      <c r="H5" s="911"/>
      <c r="I5" s="911"/>
      <c r="J5" s="911"/>
      <c r="K5" s="911"/>
      <c r="L5" s="988"/>
      <c r="M5" s="911"/>
      <c r="N5" s="911"/>
      <c r="O5" s="911"/>
      <c r="P5" s="911"/>
      <c r="Q5" s="911"/>
      <c r="R5" s="911"/>
      <c r="S5" s="911"/>
      <c r="T5" s="911"/>
      <c r="U5" s="911"/>
      <c r="V5" s="911"/>
      <c r="W5" s="911"/>
      <c r="X5" s="911"/>
      <c r="Y5" s="911"/>
      <c r="Z5" s="911"/>
      <c r="AA5" s="911"/>
      <c r="AB5" s="911"/>
      <c r="AC5" s="911"/>
      <c r="AD5" s="911"/>
      <c r="AE5" s="911"/>
      <c r="AF5" s="911"/>
      <c r="AG5" s="911"/>
      <c r="AH5" s="911"/>
      <c r="AI5" s="911"/>
      <c r="AJ5" s="911"/>
      <c r="AK5" s="911"/>
      <c r="AL5" s="911"/>
      <c r="AM5" s="911"/>
    </row>
    <row r="6" spans="1:39" hidden="1">
      <c r="A6" s="911"/>
      <c r="B6" s="911"/>
      <c r="C6" s="911"/>
      <c r="D6" s="911"/>
      <c r="E6" s="911"/>
      <c r="F6" s="911"/>
      <c r="G6" s="911"/>
      <c r="H6" s="911"/>
      <c r="I6" s="911"/>
      <c r="J6" s="911"/>
      <c r="K6" s="911"/>
      <c r="L6" s="988"/>
      <c r="M6" s="911"/>
      <c r="N6" s="911"/>
      <c r="O6" s="911"/>
      <c r="P6" s="911"/>
      <c r="Q6" s="911"/>
      <c r="R6" s="911"/>
      <c r="S6" s="911"/>
      <c r="T6" s="911"/>
      <c r="U6" s="911"/>
      <c r="V6" s="911"/>
      <c r="W6" s="911"/>
      <c r="X6" s="911"/>
      <c r="Y6" s="911"/>
      <c r="Z6" s="911"/>
      <c r="AA6" s="911"/>
      <c r="AB6" s="911"/>
      <c r="AC6" s="911"/>
      <c r="AD6" s="911"/>
      <c r="AE6" s="911"/>
      <c r="AF6" s="911"/>
      <c r="AG6" s="911"/>
      <c r="AH6" s="911"/>
      <c r="AI6" s="911"/>
      <c r="AJ6" s="911"/>
      <c r="AK6" s="911"/>
      <c r="AL6" s="911"/>
      <c r="AM6" s="911"/>
    </row>
    <row r="7" spans="1:39" hidden="1">
      <c r="A7" s="911"/>
      <c r="B7" s="911"/>
      <c r="C7" s="911"/>
      <c r="D7" s="911"/>
      <c r="E7" s="911"/>
      <c r="F7" s="911"/>
      <c r="G7" s="911"/>
      <c r="H7" s="911"/>
      <c r="I7" s="911"/>
      <c r="J7" s="911"/>
      <c r="K7" s="911"/>
      <c r="L7" s="988"/>
      <c r="M7" s="911"/>
      <c r="N7" s="911"/>
      <c r="O7" s="911"/>
      <c r="P7" s="911"/>
      <c r="Q7" s="911" t="b">
        <v>1</v>
      </c>
      <c r="R7" s="911" t="b">
        <v>0</v>
      </c>
      <c r="S7" s="911" t="b">
        <v>0</v>
      </c>
      <c r="T7" s="911" t="b">
        <v>0</v>
      </c>
      <c r="U7" s="911" t="b">
        <v>0</v>
      </c>
      <c r="V7" s="911"/>
      <c r="W7" s="911"/>
      <c r="X7" s="911"/>
      <c r="Y7" s="911"/>
      <c r="Z7" s="911"/>
      <c r="AA7" s="911"/>
      <c r="AB7" s="911"/>
      <c r="AC7" s="911"/>
      <c r="AD7" s="911"/>
      <c r="AE7" s="911"/>
      <c r="AF7" s="911"/>
      <c r="AG7" s="911"/>
      <c r="AH7" s="911"/>
      <c r="AI7" s="911"/>
      <c r="AJ7" s="911"/>
      <c r="AK7" s="911"/>
      <c r="AL7" s="911"/>
      <c r="AM7" s="911"/>
    </row>
    <row r="8" spans="1:39" hidden="1">
      <c r="A8" s="911"/>
      <c r="B8" s="911"/>
      <c r="C8" s="911"/>
      <c r="D8" s="911"/>
      <c r="E8" s="911"/>
      <c r="F8" s="911"/>
      <c r="G8" s="911"/>
      <c r="H8" s="911"/>
      <c r="I8" s="911"/>
      <c r="J8" s="911"/>
      <c r="K8" s="911"/>
      <c r="L8" s="988"/>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row>
    <row r="9" spans="1:39" hidden="1">
      <c r="A9" s="911"/>
      <c r="B9" s="911"/>
      <c r="C9" s="911"/>
      <c r="D9" s="911"/>
      <c r="E9" s="911"/>
      <c r="F9" s="911"/>
      <c r="G9" s="911"/>
      <c r="H9" s="911"/>
      <c r="I9" s="911"/>
      <c r="J9" s="911"/>
      <c r="K9" s="911"/>
      <c r="L9" s="988"/>
      <c r="M9" s="911"/>
      <c r="N9" s="911"/>
      <c r="O9" s="911"/>
      <c r="P9" s="911"/>
      <c r="Q9" s="911"/>
      <c r="R9" s="911"/>
      <c r="S9" s="911"/>
      <c r="T9" s="911"/>
      <c r="U9" s="911"/>
      <c r="V9" s="911"/>
      <c r="W9" s="911"/>
      <c r="X9" s="911"/>
      <c r="Y9" s="911"/>
      <c r="Z9" s="911"/>
      <c r="AA9" s="911"/>
      <c r="AB9" s="911"/>
      <c r="AC9" s="911"/>
      <c r="AD9" s="911"/>
      <c r="AE9" s="911"/>
      <c r="AF9" s="911"/>
      <c r="AG9" s="911"/>
      <c r="AH9" s="911"/>
      <c r="AI9" s="911"/>
      <c r="AJ9" s="911"/>
      <c r="AK9" s="911"/>
      <c r="AL9" s="911"/>
      <c r="AM9" s="911"/>
    </row>
    <row r="10" spans="1:39" hidden="1">
      <c r="A10" s="911"/>
      <c r="B10" s="911"/>
      <c r="C10" s="911"/>
      <c r="D10" s="911"/>
      <c r="E10" s="911"/>
      <c r="F10" s="911"/>
      <c r="G10" s="911"/>
      <c r="H10" s="911"/>
      <c r="I10" s="911"/>
      <c r="J10" s="911"/>
      <c r="K10" s="911"/>
      <c r="L10" s="988"/>
      <c r="M10" s="911"/>
      <c r="N10" s="911"/>
      <c r="O10" s="911"/>
      <c r="P10" s="911"/>
      <c r="Q10" s="911"/>
      <c r="R10" s="911"/>
      <c r="S10" s="911"/>
      <c r="T10" s="911"/>
      <c r="U10" s="911"/>
      <c r="V10" s="911"/>
      <c r="W10" s="911"/>
      <c r="X10" s="911"/>
      <c r="Y10" s="911"/>
      <c r="Z10" s="911"/>
      <c r="AA10" s="911"/>
      <c r="AB10" s="911"/>
      <c r="AC10" s="911"/>
      <c r="AD10" s="911"/>
      <c r="AE10" s="911"/>
      <c r="AF10" s="911"/>
      <c r="AG10" s="911"/>
      <c r="AH10" s="911"/>
      <c r="AI10" s="911"/>
      <c r="AJ10" s="911"/>
      <c r="AK10" s="911"/>
      <c r="AL10" s="911"/>
      <c r="AM10" s="911"/>
    </row>
    <row r="11" spans="1:39" ht="15" hidden="1" customHeight="1">
      <c r="A11" s="911"/>
      <c r="B11" s="911"/>
      <c r="C11" s="911"/>
      <c r="D11" s="911"/>
      <c r="E11" s="911"/>
      <c r="F11" s="911"/>
      <c r="G11" s="911"/>
      <c r="H11" s="911"/>
      <c r="I11" s="911"/>
      <c r="J11" s="911"/>
      <c r="K11" s="911"/>
      <c r="L11" s="990"/>
      <c r="M11" s="911"/>
      <c r="N11" s="911"/>
      <c r="O11" s="911"/>
      <c r="P11" s="911"/>
      <c r="Q11" s="911"/>
      <c r="R11" s="911"/>
      <c r="S11" s="911"/>
      <c r="T11" s="911"/>
      <c r="U11" s="911"/>
      <c r="V11" s="911"/>
      <c r="W11" s="911"/>
      <c r="X11" s="911"/>
      <c r="Y11" s="911"/>
      <c r="Z11" s="911"/>
      <c r="AA11" s="911"/>
      <c r="AB11" s="911"/>
      <c r="AC11" s="911"/>
      <c r="AD11" s="911"/>
      <c r="AE11" s="911"/>
      <c r="AF11" s="911"/>
      <c r="AG11" s="911"/>
      <c r="AH11" s="911"/>
      <c r="AI11" s="911"/>
      <c r="AJ11" s="911"/>
      <c r="AK11" s="911"/>
      <c r="AL11" s="911"/>
      <c r="AM11" s="911"/>
    </row>
    <row r="12" spans="1:39" s="292" customFormat="1" ht="24" customHeight="1">
      <c r="A12" s="991"/>
      <c r="B12" s="991"/>
      <c r="C12" s="991"/>
      <c r="D12" s="991"/>
      <c r="E12" s="991"/>
      <c r="F12" s="991"/>
      <c r="G12" s="991"/>
      <c r="H12" s="991"/>
      <c r="I12" s="991"/>
      <c r="J12" s="991"/>
      <c r="K12" s="991"/>
      <c r="L12" s="419" t="s">
        <v>1257</v>
      </c>
      <c r="M12" s="269"/>
      <c r="N12" s="269"/>
      <c r="O12" s="269"/>
      <c r="P12" s="269"/>
      <c r="Q12" s="269"/>
      <c r="R12" s="269"/>
      <c r="S12" s="269"/>
      <c r="T12" s="269"/>
      <c r="U12" s="269"/>
      <c r="V12" s="991"/>
      <c r="W12" s="991"/>
      <c r="X12" s="991"/>
      <c r="Y12" s="991"/>
      <c r="Z12" s="991"/>
      <c r="AA12" s="991"/>
      <c r="AB12" s="991"/>
      <c r="AC12" s="991"/>
      <c r="AD12" s="991"/>
      <c r="AE12" s="991"/>
      <c r="AF12" s="991"/>
      <c r="AG12" s="991"/>
      <c r="AH12" s="991"/>
      <c r="AI12" s="991"/>
      <c r="AJ12" s="991"/>
      <c r="AK12" s="991"/>
      <c r="AL12" s="991"/>
      <c r="AM12" s="991"/>
    </row>
    <row r="13" spans="1:39">
      <c r="A13" s="911"/>
      <c r="B13" s="911"/>
      <c r="C13" s="911"/>
      <c r="D13" s="911"/>
      <c r="E13" s="911"/>
      <c r="F13" s="911"/>
      <c r="G13" s="911"/>
      <c r="H13" s="911"/>
      <c r="I13" s="911"/>
      <c r="J13" s="911"/>
      <c r="K13" s="911"/>
      <c r="L13" s="989"/>
      <c r="M13" s="989"/>
      <c r="N13" s="911"/>
      <c r="O13" s="911"/>
      <c r="P13" s="911"/>
      <c r="Q13" s="911"/>
      <c r="R13" s="911"/>
      <c r="S13" s="911"/>
      <c r="T13" s="911"/>
      <c r="U13" s="911"/>
      <c r="V13" s="911"/>
      <c r="W13" s="911"/>
      <c r="X13" s="911"/>
      <c r="Y13" s="911"/>
      <c r="Z13" s="911"/>
      <c r="AA13" s="911"/>
      <c r="AB13" s="911"/>
      <c r="AC13" s="911"/>
      <c r="AD13" s="911"/>
      <c r="AE13" s="911"/>
      <c r="AF13" s="911"/>
      <c r="AG13" s="911"/>
      <c r="AH13" s="911"/>
      <c r="AI13" s="911"/>
      <c r="AJ13" s="911"/>
      <c r="AK13" s="911"/>
      <c r="AL13" s="911"/>
      <c r="AM13" s="989"/>
    </row>
    <row r="14" spans="1:39" s="293" customFormat="1" ht="39" customHeight="1">
      <c r="A14" s="989"/>
      <c r="B14" s="989"/>
      <c r="C14" s="989"/>
      <c r="D14" s="989"/>
      <c r="E14" s="989"/>
      <c r="F14" s="989"/>
      <c r="G14" s="989"/>
      <c r="H14" s="989"/>
      <c r="I14" s="989"/>
      <c r="J14" s="989"/>
      <c r="K14" s="989"/>
      <c r="L14" s="1187" t="s">
        <v>14</v>
      </c>
      <c r="M14" s="1190" t="s">
        <v>678</v>
      </c>
      <c r="N14" s="1190" t="s">
        <v>289</v>
      </c>
      <c r="O14" s="1190" t="s">
        <v>679</v>
      </c>
      <c r="P14" s="1190" t="s">
        <v>680</v>
      </c>
      <c r="Q14" s="1190"/>
      <c r="R14" s="1190"/>
      <c r="S14" s="1190"/>
      <c r="T14" s="1190"/>
      <c r="U14" s="1191"/>
      <c r="V14" s="1017"/>
      <c r="W14" s="989"/>
      <c r="X14" s="989"/>
      <c r="Y14" s="989"/>
      <c r="Z14" s="989"/>
      <c r="AA14" s="989"/>
      <c r="AB14" s="989"/>
      <c r="AC14" s="989"/>
      <c r="AD14" s="989"/>
      <c r="AE14" s="989"/>
      <c r="AF14" s="989"/>
      <c r="AG14" s="989"/>
      <c r="AH14" s="989"/>
      <c r="AI14" s="989"/>
      <c r="AJ14" s="989"/>
      <c r="AK14" s="989"/>
      <c r="AL14" s="989"/>
      <c r="AM14" s="989"/>
    </row>
    <row r="15" spans="1:39" s="293" customFormat="1" ht="36" customHeight="1">
      <c r="A15" s="989"/>
      <c r="B15" s="989"/>
      <c r="C15" s="989"/>
      <c r="D15" s="989"/>
      <c r="E15" s="989"/>
      <c r="F15" s="989"/>
      <c r="G15" s="989"/>
      <c r="H15" s="989"/>
      <c r="I15" s="989"/>
      <c r="J15" s="989"/>
      <c r="K15" s="989"/>
      <c r="L15" s="1188"/>
      <c r="M15" s="1190"/>
      <c r="N15" s="1190"/>
      <c r="O15" s="1190"/>
      <c r="P15" s="1018" t="s">
        <v>322</v>
      </c>
      <c r="Q15" s="1018" t="s">
        <v>681</v>
      </c>
      <c r="R15" s="1018" t="s">
        <v>1624</v>
      </c>
      <c r="S15" s="1018" t="s">
        <v>1625</v>
      </c>
      <c r="T15" s="1018" t="s">
        <v>1626</v>
      </c>
      <c r="U15" s="1019" t="s">
        <v>1627</v>
      </c>
      <c r="V15" s="1017"/>
      <c r="W15" s="989"/>
      <c r="X15" s="989"/>
      <c r="Y15" s="989"/>
      <c r="Z15" s="989"/>
      <c r="AA15" s="989"/>
      <c r="AB15" s="989"/>
      <c r="AC15" s="989"/>
      <c r="AD15" s="989"/>
      <c r="AE15" s="989"/>
      <c r="AF15" s="989"/>
      <c r="AG15" s="989"/>
      <c r="AH15" s="989"/>
      <c r="AI15" s="989"/>
      <c r="AJ15" s="989"/>
      <c r="AK15" s="989"/>
      <c r="AL15" s="989"/>
      <c r="AM15" s="989"/>
    </row>
    <row r="16" spans="1:39" s="294" customFormat="1">
      <c r="A16" s="1020"/>
      <c r="B16" s="1020"/>
      <c r="C16" s="1020"/>
      <c r="D16" s="1020"/>
      <c r="E16" s="1020"/>
      <c r="F16" s="1020"/>
      <c r="G16" s="1020"/>
      <c r="H16" s="1020"/>
      <c r="I16" s="1020"/>
      <c r="J16" s="1020"/>
      <c r="K16" s="1020"/>
      <c r="L16" s="1189"/>
      <c r="M16" s="1018" t="s">
        <v>352</v>
      </c>
      <c r="N16" s="1018" t="s">
        <v>137</v>
      </c>
      <c r="O16" s="881" t="s">
        <v>137</v>
      </c>
      <c r="P16" s="1018" t="s">
        <v>137</v>
      </c>
      <c r="Q16" s="1018" t="s">
        <v>682</v>
      </c>
      <c r="R16" s="1018" t="s">
        <v>682</v>
      </c>
      <c r="S16" s="1018" t="s">
        <v>682</v>
      </c>
      <c r="T16" s="1018" t="s">
        <v>682</v>
      </c>
      <c r="U16" s="1019" t="s">
        <v>682</v>
      </c>
      <c r="V16" s="1028"/>
      <c r="W16" s="1020"/>
      <c r="X16" s="1020"/>
      <c r="Y16" s="1020"/>
      <c r="Z16" s="1020"/>
      <c r="AA16" s="1020"/>
      <c r="AB16" s="1020"/>
      <c r="AC16" s="1020"/>
      <c r="AD16" s="1020"/>
      <c r="AE16" s="1020"/>
      <c r="AF16" s="1020"/>
      <c r="AG16" s="1020"/>
      <c r="AH16" s="1020"/>
      <c r="AI16" s="1020"/>
      <c r="AJ16" s="1020"/>
      <c r="AK16" s="1020"/>
      <c r="AL16" s="1020"/>
      <c r="AM16" s="1020"/>
    </row>
    <row r="17" spans="1:39" s="101" customFormat="1">
      <c r="A17" s="788" t="s">
        <v>18</v>
      </c>
      <c r="B17" s="874"/>
      <c r="C17" s="874"/>
      <c r="D17" s="874"/>
      <c r="E17" s="874"/>
      <c r="F17" s="874"/>
      <c r="G17" s="874"/>
      <c r="H17" s="874"/>
      <c r="I17" s="874"/>
      <c r="J17" s="874"/>
      <c r="K17" s="874"/>
      <c r="L17" s="888" t="s">
        <v>3005</v>
      </c>
      <c r="M17" s="889"/>
      <c r="N17" s="889"/>
      <c r="O17" s="889"/>
      <c r="P17" s="889"/>
      <c r="Q17" s="889"/>
      <c r="R17" s="889"/>
      <c r="S17" s="889"/>
      <c r="T17" s="889"/>
      <c r="U17" s="889"/>
      <c r="V17" s="1022"/>
      <c r="W17" s="874"/>
      <c r="X17" s="874"/>
      <c r="Y17" s="874"/>
      <c r="Z17" s="874"/>
      <c r="AA17" s="874"/>
      <c r="AB17" s="874"/>
      <c r="AC17" s="874"/>
      <c r="AD17" s="874"/>
      <c r="AE17" s="874"/>
      <c r="AF17" s="874"/>
      <c r="AG17" s="874"/>
      <c r="AH17" s="874"/>
      <c r="AI17" s="874"/>
      <c r="AJ17" s="874"/>
      <c r="AK17" s="874"/>
      <c r="AL17" s="874"/>
      <c r="AM17" s="874"/>
    </row>
    <row r="18" spans="1:39" s="101" customFormat="1">
      <c r="A18" s="788" t="s">
        <v>102</v>
      </c>
      <c r="B18" s="874"/>
      <c r="C18" s="874"/>
      <c r="D18" s="874"/>
      <c r="E18" s="874"/>
      <c r="F18" s="874"/>
      <c r="G18" s="874"/>
      <c r="H18" s="874"/>
      <c r="I18" s="874"/>
      <c r="J18" s="874"/>
      <c r="K18" s="874"/>
      <c r="L18" s="888" t="s">
        <v>3009</v>
      </c>
      <c r="M18" s="889"/>
      <c r="N18" s="889"/>
      <c r="O18" s="889"/>
      <c r="P18" s="889"/>
      <c r="Q18" s="889"/>
      <c r="R18" s="889"/>
      <c r="S18" s="889"/>
      <c r="T18" s="889"/>
      <c r="U18" s="889"/>
      <c r="V18" s="1022"/>
      <c r="W18" s="874"/>
      <c r="X18" s="874"/>
      <c r="Y18" s="874"/>
      <c r="Z18" s="874"/>
      <c r="AA18" s="874"/>
      <c r="AB18" s="874"/>
      <c r="AC18" s="874"/>
      <c r="AD18" s="874"/>
      <c r="AE18" s="874"/>
      <c r="AF18" s="874"/>
      <c r="AG18" s="874"/>
      <c r="AH18" s="874"/>
      <c r="AI18" s="874"/>
      <c r="AJ18" s="874"/>
      <c r="AK18" s="874"/>
      <c r="AL18" s="874"/>
      <c r="AM18" s="874"/>
    </row>
    <row r="19" spans="1:39">
      <c r="A19" s="911"/>
      <c r="B19" s="911"/>
      <c r="C19" s="911"/>
      <c r="D19" s="911"/>
      <c r="E19" s="911"/>
      <c r="F19" s="911"/>
      <c r="G19" s="911"/>
      <c r="H19" s="911"/>
      <c r="I19" s="911"/>
      <c r="J19" s="911"/>
      <c r="K19" s="911"/>
      <c r="L19" s="988"/>
      <c r="M19" s="911"/>
      <c r="N19" s="911"/>
      <c r="O19" s="911"/>
      <c r="P19" s="911"/>
      <c r="Q19" s="911"/>
      <c r="R19" s="911"/>
      <c r="S19" s="911"/>
      <c r="T19" s="911"/>
      <c r="U19" s="911"/>
      <c r="V19" s="911"/>
      <c r="W19" s="911"/>
      <c r="X19" s="911"/>
      <c r="Y19" s="911"/>
      <c r="Z19" s="911"/>
      <c r="AA19" s="911"/>
      <c r="AB19" s="911"/>
      <c r="AC19" s="911"/>
      <c r="AD19" s="911"/>
      <c r="AE19" s="911"/>
      <c r="AF19" s="911"/>
      <c r="AG19" s="911"/>
      <c r="AH19" s="911"/>
      <c r="AI19" s="911"/>
      <c r="AJ19" s="911"/>
      <c r="AK19" s="911"/>
      <c r="AL19" s="911"/>
      <c r="AM19" s="911"/>
    </row>
    <row r="20" spans="1:39" ht="15" customHeight="1">
      <c r="A20" s="911"/>
      <c r="B20" s="911"/>
      <c r="C20" s="911"/>
      <c r="D20" s="911"/>
      <c r="E20" s="911"/>
      <c r="F20" s="911"/>
      <c r="G20" s="911"/>
      <c r="H20" s="911"/>
      <c r="I20" s="911"/>
      <c r="J20" s="911"/>
      <c r="K20" s="911"/>
      <c r="L20" s="1183" t="s">
        <v>1367</v>
      </c>
      <c r="M20" s="1183"/>
      <c r="N20" s="1183"/>
      <c r="O20" s="1183"/>
      <c r="P20" s="1183"/>
      <c r="Q20" s="1183"/>
      <c r="R20" s="1183"/>
      <c r="S20" s="1183"/>
      <c r="T20" s="1183"/>
      <c r="U20" s="1184"/>
      <c r="V20" s="1027"/>
      <c r="W20" s="911"/>
      <c r="X20" s="911"/>
      <c r="Y20" s="911"/>
      <c r="Z20" s="911"/>
      <c r="AA20" s="911"/>
      <c r="AB20" s="911"/>
      <c r="AC20" s="911"/>
      <c r="AD20" s="911"/>
      <c r="AE20" s="911"/>
      <c r="AF20" s="911"/>
      <c r="AG20" s="911"/>
      <c r="AH20" s="911"/>
      <c r="AI20" s="911"/>
      <c r="AJ20" s="911"/>
      <c r="AK20" s="911"/>
      <c r="AL20" s="911"/>
      <c r="AM20" s="911"/>
    </row>
    <row r="21" spans="1:39" ht="15" customHeight="1">
      <c r="A21" s="911"/>
      <c r="B21" s="911"/>
      <c r="C21" s="911"/>
      <c r="D21" s="911"/>
      <c r="E21" s="911"/>
      <c r="F21" s="911"/>
      <c r="G21" s="911"/>
      <c r="H21" s="911"/>
      <c r="I21" s="911"/>
      <c r="J21" s="911"/>
      <c r="K21" s="662"/>
      <c r="L21" s="1185"/>
      <c r="M21" s="1185"/>
      <c r="N21" s="1185"/>
      <c r="O21" s="1185"/>
      <c r="P21" s="1185"/>
      <c r="Q21" s="1185"/>
      <c r="R21" s="1185"/>
      <c r="S21" s="1185"/>
      <c r="T21" s="1185"/>
      <c r="U21" s="1186"/>
      <c r="V21" s="1027"/>
      <c r="W21" s="911"/>
      <c r="X21" s="911"/>
      <c r="Y21" s="911"/>
      <c r="Z21" s="911"/>
      <c r="AA21" s="911"/>
      <c r="AB21" s="911"/>
      <c r="AC21" s="911"/>
      <c r="AD21" s="911"/>
      <c r="AE21" s="911"/>
      <c r="AF21" s="911"/>
      <c r="AG21" s="911"/>
      <c r="AH21" s="911"/>
      <c r="AI21" s="911"/>
      <c r="AJ21" s="911"/>
      <c r="AK21" s="911"/>
      <c r="AL21" s="911"/>
      <c r="AM21" s="911"/>
    </row>
  </sheetData>
  <sheetProtection formatColumns="0" formatRows="0" autoFilter="0"/>
  <mergeCells count="7">
    <mergeCell ref="L21:U21"/>
    <mergeCell ref="L20:U20"/>
    <mergeCell ref="L14:L16"/>
    <mergeCell ref="M14:M15"/>
    <mergeCell ref="N14:N15"/>
    <mergeCell ref="O14:O15"/>
    <mergeCell ref="P14:U14"/>
  </mergeCell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25" defaultRowHeight="12" customHeight="1"/>
  <cols>
    <col min="1" max="1" width="42.75" style="114" customWidth="1"/>
    <col min="2" max="2" width="6.75" style="114" customWidth="1"/>
    <col min="3" max="3" width="40.75" style="114" customWidth="1"/>
    <col min="4" max="6" width="3.75" style="114" customWidth="1"/>
    <col min="7" max="7" width="23.75" style="114" customWidth="1"/>
    <col min="8" max="9" width="3.75" style="114" customWidth="1"/>
    <col min="10" max="10" width="4.75" style="114" customWidth="1"/>
    <col min="11" max="11" width="40.75" style="114" customWidth="1"/>
    <col min="12" max="12" width="4.75" style="114" customWidth="1"/>
    <col min="13" max="13" width="18.625" style="114" bestFit="1" customWidth="1"/>
    <col min="14" max="15" width="4.75" style="114" customWidth="1"/>
    <col min="16" max="16" width="5.75" style="114" customWidth="1"/>
    <col min="17" max="18" width="12.625" style="114" customWidth="1"/>
    <col min="19" max="19" width="14.625" style="114" customWidth="1"/>
    <col min="20" max="20" width="18.875" style="114" customWidth="1"/>
    <col min="21" max="21" width="19.25" style="114" customWidth="1"/>
    <col min="22" max="22" width="39.125" style="114" customWidth="1"/>
    <col min="23" max="23" width="41.75" style="114" customWidth="1"/>
    <col min="24" max="24" width="54.875" style="114" customWidth="1"/>
    <col min="25" max="26" width="22.875" style="114" customWidth="1"/>
    <col min="27" max="16384" width="9.125" style="114"/>
  </cols>
  <sheetData>
    <row r="1" spans="1:26" ht="12" customHeight="1">
      <c r="A1" s="110" t="s">
        <v>28</v>
      </c>
      <c r="B1" s="111" t="s">
        <v>687</v>
      </c>
      <c r="C1" s="110" t="s">
        <v>28</v>
      </c>
      <c r="D1" s="110"/>
      <c r="E1" s="110"/>
      <c r="F1" s="110"/>
      <c r="G1" s="112" t="s">
        <v>688</v>
      </c>
      <c r="H1" s="110"/>
      <c r="I1" s="110"/>
      <c r="J1" s="110"/>
      <c r="K1" s="110"/>
      <c r="L1" s="113"/>
      <c r="M1" s="112" t="s">
        <v>689</v>
      </c>
      <c r="N1" s="110"/>
      <c r="O1" s="113"/>
      <c r="P1" s="110"/>
      <c r="Q1" s="112" t="s">
        <v>690</v>
      </c>
      <c r="R1" s="112" t="s">
        <v>691</v>
      </c>
      <c r="S1" s="112" t="s">
        <v>900</v>
      </c>
      <c r="T1" s="112" t="s">
        <v>996</v>
      </c>
      <c r="U1" s="112" t="s">
        <v>999</v>
      </c>
      <c r="V1" s="129" t="s">
        <v>1335</v>
      </c>
      <c r="W1" s="129" t="s">
        <v>1102</v>
      </c>
      <c r="X1" s="129" t="s">
        <v>1016</v>
      </c>
      <c r="Y1" s="129" t="s">
        <v>1039</v>
      </c>
      <c r="Z1" s="129" t="s">
        <v>1216</v>
      </c>
    </row>
    <row r="2" spans="1:26" ht="12" customHeight="1">
      <c r="A2" s="110" t="s">
        <v>29</v>
      </c>
      <c r="B2" s="111" t="s">
        <v>692</v>
      </c>
      <c r="C2" s="110" t="s">
        <v>29</v>
      </c>
      <c r="D2" s="110"/>
      <c r="E2" s="110"/>
      <c r="F2" s="110"/>
      <c r="G2" s="115" t="s">
        <v>20</v>
      </c>
      <c r="H2" s="110"/>
      <c r="I2" s="110"/>
      <c r="J2" s="110"/>
      <c r="K2" s="110"/>
      <c r="L2" s="110"/>
      <c r="M2" s="116" t="s">
        <v>693</v>
      </c>
      <c r="N2" s="110"/>
      <c r="O2" s="110"/>
      <c r="P2" s="110"/>
      <c r="Q2" s="115">
        <v>2012</v>
      </c>
      <c r="R2" s="115" t="s">
        <v>0</v>
      </c>
      <c r="S2" s="115">
        <v>3</v>
      </c>
      <c r="T2" s="128" t="s">
        <v>997</v>
      </c>
      <c r="U2" s="128" t="s">
        <v>1000</v>
      </c>
      <c r="V2" s="146" t="s">
        <v>1002</v>
      </c>
      <c r="W2" s="146" t="s">
        <v>1103</v>
      </c>
      <c r="X2" s="146" t="s">
        <v>1368</v>
      </c>
      <c r="Y2" s="146" t="s">
        <v>1193</v>
      </c>
      <c r="Z2" s="146" t="s">
        <v>1193</v>
      </c>
    </row>
    <row r="3" spans="1:26" ht="12" customHeight="1">
      <c r="A3" s="110" t="s">
        <v>30</v>
      </c>
      <c r="B3" s="111" t="s">
        <v>694</v>
      </c>
      <c r="C3" s="110" t="s">
        <v>30</v>
      </c>
      <c r="D3" s="110"/>
      <c r="E3" s="110"/>
      <c r="F3" s="110"/>
      <c r="G3" s="115" t="s">
        <v>21</v>
      </c>
      <c r="H3" s="110"/>
      <c r="I3" s="110"/>
      <c r="J3" s="110"/>
      <c r="K3" s="110"/>
      <c r="L3" s="110"/>
      <c r="M3" s="110"/>
      <c r="N3" s="110"/>
      <c r="O3" s="110"/>
      <c r="P3" s="110"/>
      <c r="Q3" s="115">
        <v>2013</v>
      </c>
      <c r="R3" s="115" t="s">
        <v>1</v>
      </c>
      <c r="S3" s="115">
        <v>4</v>
      </c>
      <c r="T3" s="128" t="s">
        <v>998</v>
      </c>
      <c r="U3" s="128" t="s">
        <v>1001</v>
      </c>
      <c r="V3" s="146" t="s">
        <v>1003</v>
      </c>
      <c r="W3" s="146" t="s">
        <v>1104</v>
      </c>
      <c r="X3" s="146" t="s">
        <v>1369</v>
      </c>
      <c r="Y3" s="146" t="s">
        <v>1034</v>
      </c>
      <c r="Z3" s="146" t="s">
        <v>1034</v>
      </c>
    </row>
    <row r="4" spans="1:26" ht="12" customHeight="1">
      <c r="A4" s="110" t="s">
        <v>31</v>
      </c>
      <c r="B4" s="111" t="s">
        <v>695</v>
      </c>
      <c r="C4" s="110" t="s">
        <v>31</v>
      </c>
      <c r="D4" s="110"/>
      <c r="E4" s="110"/>
      <c r="F4" s="110"/>
      <c r="G4" s="110"/>
      <c r="H4" s="110"/>
      <c r="I4" s="110"/>
      <c r="J4" s="110"/>
      <c r="K4" s="110"/>
      <c r="L4" s="110"/>
      <c r="M4" s="112" t="s">
        <v>696</v>
      </c>
      <c r="N4" s="110"/>
      <c r="O4" s="110"/>
      <c r="P4" s="110"/>
      <c r="Q4" s="115">
        <v>2014</v>
      </c>
      <c r="R4" s="115" t="s">
        <v>2</v>
      </c>
      <c r="S4" s="115">
        <v>5</v>
      </c>
      <c r="V4" s="146" t="s">
        <v>1336</v>
      </c>
      <c r="X4" s="146" t="s">
        <v>1370</v>
      </c>
      <c r="Y4" s="146" t="s">
        <v>1035</v>
      </c>
      <c r="Z4" s="146" t="s">
        <v>1035</v>
      </c>
    </row>
    <row r="5" spans="1:26" ht="12" customHeight="1">
      <c r="A5" s="110" t="s">
        <v>32</v>
      </c>
      <c r="B5" s="111" t="s">
        <v>697</v>
      </c>
      <c r="C5" s="110" t="s">
        <v>32</v>
      </c>
      <c r="D5" s="110"/>
      <c r="E5" s="110"/>
      <c r="F5" s="110"/>
      <c r="G5" s="117" t="s">
        <v>698</v>
      </c>
      <c r="H5" s="110"/>
      <c r="I5" s="110"/>
      <c r="J5" s="110"/>
      <c r="K5" s="110"/>
      <c r="L5" s="110"/>
      <c r="M5" s="116">
        <v>1.2</v>
      </c>
      <c r="N5" s="110"/>
      <c r="O5" s="110"/>
      <c r="P5" s="110"/>
      <c r="Q5" s="115">
        <v>2015</v>
      </c>
      <c r="R5" s="115" t="s">
        <v>3</v>
      </c>
      <c r="S5" s="115">
        <v>6</v>
      </c>
      <c r="V5" s="129" t="s">
        <v>1004</v>
      </c>
      <c r="W5" s="129" t="s">
        <v>1105</v>
      </c>
      <c r="X5" s="146" t="s">
        <v>1371</v>
      </c>
      <c r="Y5" s="146" t="s">
        <v>1036</v>
      </c>
      <c r="Z5" s="146" t="s">
        <v>1036</v>
      </c>
    </row>
    <row r="6" spans="1:26" ht="12" customHeight="1">
      <c r="A6" s="110" t="s">
        <v>33</v>
      </c>
      <c r="B6" s="111" t="s">
        <v>699</v>
      </c>
      <c r="C6" s="110" t="s">
        <v>33</v>
      </c>
      <c r="D6" s="110"/>
      <c r="E6" s="110"/>
      <c r="F6" s="110"/>
      <c r="G6" s="117" t="s">
        <v>700</v>
      </c>
      <c r="H6" s="110"/>
      <c r="I6" s="110"/>
      <c r="J6" s="110"/>
      <c r="K6" s="110"/>
      <c r="L6" s="110"/>
      <c r="M6" s="110"/>
      <c r="N6" s="110"/>
      <c r="O6" s="110"/>
      <c r="P6" s="110"/>
      <c r="Q6" s="115">
        <v>2016</v>
      </c>
      <c r="R6" s="115" t="s">
        <v>4</v>
      </c>
      <c r="S6" s="115">
        <v>7</v>
      </c>
      <c r="V6" s="146" t="s">
        <v>1317</v>
      </c>
      <c r="W6" s="306" t="s">
        <v>1106</v>
      </c>
      <c r="X6" s="146" t="s">
        <v>1372</v>
      </c>
      <c r="Y6" s="146" t="s">
        <v>1037</v>
      </c>
      <c r="Z6" s="146" t="s">
        <v>1037</v>
      </c>
    </row>
    <row r="7" spans="1:26" ht="12" customHeight="1">
      <c r="A7" s="110" t="s">
        <v>34</v>
      </c>
      <c r="B7" s="111" t="s">
        <v>701</v>
      </c>
      <c r="C7" s="110" t="s">
        <v>34</v>
      </c>
      <c r="D7" s="110"/>
      <c r="E7" s="110"/>
      <c r="F7" s="110"/>
      <c r="G7" s="118" t="s">
        <v>704</v>
      </c>
      <c r="H7" s="110"/>
      <c r="I7" s="110"/>
      <c r="J7" s="110"/>
      <c r="K7" s="110"/>
      <c r="L7" s="110"/>
      <c r="M7" s="112" t="s">
        <v>702</v>
      </c>
      <c r="N7" s="110"/>
      <c r="O7" s="110"/>
      <c r="P7" s="110"/>
      <c r="Q7" s="115">
        <v>2017</v>
      </c>
      <c r="R7" s="115" t="s">
        <v>5</v>
      </c>
      <c r="S7" s="115">
        <v>8</v>
      </c>
      <c r="V7" s="146" t="s">
        <v>1318</v>
      </c>
      <c r="X7" s="146" t="s">
        <v>1373</v>
      </c>
      <c r="Y7" s="146" t="s">
        <v>1038</v>
      </c>
      <c r="Z7" s="146" t="s">
        <v>1038</v>
      </c>
    </row>
    <row r="8" spans="1:26" ht="12" customHeight="1">
      <c r="A8" s="110" t="s">
        <v>35</v>
      </c>
      <c r="B8" s="111" t="s">
        <v>703</v>
      </c>
      <c r="C8" s="110" t="s">
        <v>35</v>
      </c>
      <c r="D8" s="110"/>
      <c r="E8" s="110"/>
      <c r="F8" s="110"/>
      <c r="G8" s="118" t="s">
        <v>706</v>
      </c>
      <c r="H8" s="110"/>
      <c r="I8" s="110"/>
      <c r="J8" s="110"/>
      <c r="K8" s="110"/>
      <c r="L8" s="110"/>
      <c r="M8" s="116">
        <v>2021</v>
      </c>
      <c r="N8" s="110"/>
      <c r="O8" s="110"/>
      <c r="P8" s="110"/>
      <c r="Q8" s="115">
        <v>2018</v>
      </c>
      <c r="R8" s="115" t="s">
        <v>6</v>
      </c>
      <c r="S8" s="115">
        <v>9</v>
      </c>
      <c r="V8" s="146" t="s">
        <v>1319</v>
      </c>
      <c r="X8" s="146" t="s">
        <v>1374</v>
      </c>
      <c r="Z8" s="146" t="s">
        <v>1217</v>
      </c>
    </row>
    <row r="9" spans="1:26" ht="12" customHeight="1">
      <c r="A9" s="110" t="s">
        <v>36</v>
      </c>
      <c r="B9" s="111" t="s">
        <v>705</v>
      </c>
      <c r="C9" s="110" t="s">
        <v>36</v>
      </c>
      <c r="D9" s="110"/>
      <c r="E9" s="110"/>
      <c r="F9" s="110"/>
      <c r="G9" s="118" t="s">
        <v>708</v>
      </c>
      <c r="H9" s="110"/>
      <c r="I9" s="110"/>
      <c r="J9" s="110"/>
      <c r="K9" s="110"/>
      <c r="L9" s="110"/>
      <c r="M9" s="110"/>
      <c r="N9" s="110"/>
      <c r="O9" s="110"/>
      <c r="P9" s="110"/>
      <c r="Q9" s="115">
        <v>2019</v>
      </c>
      <c r="R9" s="115" t="s">
        <v>7</v>
      </c>
      <c r="S9" s="115">
        <v>10</v>
      </c>
      <c r="V9" s="146" t="s">
        <v>1320</v>
      </c>
      <c r="X9" s="146" t="s">
        <v>1375</v>
      </c>
    </row>
    <row r="10" spans="1:26" ht="12" customHeight="1">
      <c r="A10" s="110" t="s">
        <v>37</v>
      </c>
      <c r="B10" s="111" t="s">
        <v>707</v>
      </c>
      <c r="C10" s="110" t="s">
        <v>37</v>
      </c>
      <c r="D10" s="110"/>
      <c r="E10" s="110"/>
      <c r="F10" s="110"/>
      <c r="G10" s="120"/>
      <c r="H10" s="110"/>
      <c r="I10" s="110"/>
      <c r="J10" s="110"/>
      <c r="K10" s="110"/>
      <c r="L10" s="110"/>
      <c r="M10" s="112" t="s">
        <v>709</v>
      </c>
      <c r="N10" s="110"/>
      <c r="O10" s="110"/>
      <c r="P10" s="110"/>
      <c r="Q10" s="115">
        <v>2020</v>
      </c>
      <c r="R10" s="115" t="s">
        <v>8</v>
      </c>
      <c r="S10" s="115">
        <v>11</v>
      </c>
      <c r="V10" s="146" t="s">
        <v>1321</v>
      </c>
      <c r="X10" s="146" t="s">
        <v>1376</v>
      </c>
    </row>
    <row r="11" spans="1:26" ht="12" customHeight="1">
      <c r="A11" s="303" t="s">
        <v>38</v>
      </c>
      <c r="B11" s="111" t="s">
        <v>710</v>
      </c>
      <c r="C11" s="119" t="s">
        <v>711</v>
      </c>
      <c r="D11" s="110"/>
      <c r="E11" s="110"/>
      <c r="F11" s="110"/>
      <c r="G11" s="117" t="s">
        <v>714</v>
      </c>
      <c r="H11" s="110"/>
      <c r="I11" s="110"/>
      <c r="J11" s="110"/>
      <c r="K11" s="110"/>
      <c r="L11" s="110"/>
      <c r="M11" s="116" t="str">
        <f>"01.01." &amp; PERIOD</f>
        <v>01.01.2021</v>
      </c>
      <c r="N11" s="110"/>
      <c r="O11" s="110"/>
      <c r="P11" s="110"/>
      <c r="Q11" s="115">
        <v>2021</v>
      </c>
      <c r="R11" s="115" t="s">
        <v>9</v>
      </c>
      <c r="S11" s="115">
        <v>12</v>
      </c>
      <c r="V11" s="146" t="s">
        <v>1322</v>
      </c>
      <c r="X11" s="146" t="s">
        <v>1377</v>
      </c>
    </row>
    <row r="12" spans="1:26" ht="12" customHeight="1">
      <c r="A12" s="303" t="s">
        <v>712</v>
      </c>
      <c r="B12" s="111" t="s">
        <v>713</v>
      </c>
      <c r="C12" s="119"/>
      <c r="D12" s="110"/>
      <c r="E12" s="110"/>
      <c r="F12" s="110"/>
      <c r="G12" s="117" t="s">
        <v>718</v>
      </c>
      <c r="H12" s="110"/>
      <c r="I12" s="110"/>
      <c r="J12" s="110"/>
      <c r="K12" s="110"/>
      <c r="L12" s="110"/>
      <c r="M12" s="116" t="str">
        <f>"31.12." &amp; PERIOD</f>
        <v>31.12.2021</v>
      </c>
      <c r="N12" s="110"/>
      <c r="O12" s="110"/>
      <c r="P12" s="110"/>
      <c r="Q12" s="115">
        <v>2022</v>
      </c>
      <c r="R12" s="115" t="s">
        <v>10</v>
      </c>
      <c r="S12" s="115">
        <v>13</v>
      </c>
      <c r="X12" s="146" t="s">
        <v>1378</v>
      </c>
    </row>
    <row r="13" spans="1:26" ht="12" customHeight="1">
      <c r="A13" s="303" t="s">
        <v>715</v>
      </c>
      <c r="B13" s="111" t="s">
        <v>716</v>
      </c>
      <c r="C13" s="119" t="s">
        <v>717</v>
      </c>
      <c r="D13" s="110"/>
      <c r="E13" s="110"/>
      <c r="F13" s="110"/>
      <c r="G13" s="118" t="s">
        <v>722</v>
      </c>
      <c r="H13" s="110"/>
      <c r="I13" s="110"/>
      <c r="J13" s="110"/>
      <c r="K13" s="110"/>
      <c r="L13" s="110"/>
      <c r="M13" s="110"/>
      <c r="N13" s="110"/>
      <c r="O13" s="110"/>
      <c r="P13" s="110"/>
      <c r="Q13" s="115">
        <v>2023</v>
      </c>
      <c r="R13" s="115" t="s">
        <v>11</v>
      </c>
      <c r="S13" s="115">
        <v>14</v>
      </c>
      <c r="X13" s="146" t="s">
        <v>1379</v>
      </c>
    </row>
    <row r="14" spans="1:26" ht="12" customHeight="1">
      <c r="A14" s="303" t="s">
        <v>719</v>
      </c>
      <c r="B14" s="121" t="s">
        <v>720</v>
      </c>
      <c r="C14" s="122" t="s">
        <v>721</v>
      </c>
      <c r="D14" s="110"/>
      <c r="E14" s="110"/>
      <c r="F14" s="110"/>
      <c r="G14" s="118" t="s">
        <v>725</v>
      </c>
      <c r="H14" s="110"/>
      <c r="I14" s="110"/>
      <c r="J14" s="110"/>
      <c r="K14" s="110"/>
      <c r="L14" s="110"/>
      <c r="M14" s="112" t="s">
        <v>723</v>
      </c>
      <c r="N14" s="110"/>
      <c r="O14" s="110"/>
      <c r="P14" s="110"/>
      <c r="Q14" s="115">
        <v>2024</v>
      </c>
      <c r="R14" s="110"/>
      <c r="S14" s="115">
        <v>15</v>
      </c>
      <c r="X14" s="146" t="s">
        <v>1380</v>
      </c>
    </row>
    <row r="15" spans="1:26" ht="12" customHeight="1">
      <c r="A15" s="110" t="s">
        <v>39</v>
      </c>
      <c r="B15" s="111" t="s">
        <v>724</v>
      </c>
      <c r="C15" s="110" t="s">
        <v>39</v>
      </c>
      <c r="D15" s="110"/>
      <c r="E15" s="110"/>
      <c r="F15" s="110"/>
      <c r="G15" s="118" t="s">
        <v>727</v>
      </c>
      <c r="H15" s="110"/>
      <c r="I15" s="110"/>
      <c r="J15" s="110"/>
      <c r="K15" s="110"/>
      <c r="L15" s="110"/>
      <c r="M15" s="116" t="str">
        <f>"01.01." &amp; PERIOD</f>
        <v>01.01.2021</v>
      </c>
      <c r="N15" s="110"/>
      <c r="O15" s="110"/>
      <c r="P15" s="110"/>
      <c r="Q15" s="115">
        <v>2025</v>
      </c>
      <c r="R15" s="110"/>
      <c r="S15" s="115">
        <v>16</v>
      </c>
    </row>
    <row r="16" spans="1:26" ht="12" customHeight="1">
      <c r="A16" s="110" t="s">
        <v>40</v>
      </c>
      <c r="B16" s="111" t="s">
        <v>726</v>
      </c>
      <c r="C16" s="110" t="s">
        <v>40</v>
      </c>
      <c r="D16" s="110"/>
      <c r="E16" s="110"/>
      <c r="F16" s="110"/>
      <c r="G16" s="118" t="s">
        <v>729</v>
      </c>
      <c r="H16" s="110"/>
      <c r="I16" s="110"/>
      <c r="J16" s="110"/>
      <c r="K16" s="110"/>
      <c r="L16" s="110"/>
      <c r="M16" s="116" t="str">
        <f>"31.12." &amp; PERIOD</f>
        <v>31.12.2021</v>
      </c>
      <c r="N16" s="110"/>
      <c r="O16" s="110"/>
      <c r="P16" s="110"/>
      <c r="Q16" s="115">
        <v>2026</v>
      </c>
      <c r="R16" s="110"/>
      <c r="S16" s="115">
        <v>17</v>
      </c>
      <c r="X16" s="129" t="s">
        <v>1381</v>
      </c>
    </row>
    <row r="17" spans="1:24" ht="12" customHeight="1">
      <c r="A17" s="110" t="s">
        <v>41</v>
      </c>
      <c r="B17" s="111" t="s">
        <v>728</v>
      </c>
      <c r="C17" s="110" t="s">
        <v>41</v>
      </c>
      <c r="D17" s="110"/>
      <c r="E17" s="110"/>
      <c r="F17" s="110"/>
      <c r="G17" s="110"/>
      <c r="H17" s="110"/>
      <c r="I17" s="110"/>
      <c r="J17" s="110"/>
      <c r="K17" s="110"/>
      <c r="L17" s="110"/>
      <c r="M17" s="123"/>
      <c r="N17" s="110"/>
      <c r="O17" s="110"/>
      <c r="P17" s="110"/>
      <c r="Q17" s="115">
        <v>2027</v>
      </c>
      <c r="R17" s="110"/>
      <c r="S17" s="115">
        <v>18</v>
      </c>
      <c r="X17" s="146" t="s">
        <v>1382</v>
      </c>
    </row>
    <row r="18" spans="1:24" ht="12" customHeight="1">
      <c r="A18" s="110" t="s">
        <v>42</v>
      </c>
      <c r="B18" s="111" t="s">
        <v>730</v>
      </c>
      <c r="C18" s="110" t="s">
        <v>42</v>
      </c>
      <c r="D18" s="110"/>
      <c r="E18" s="110"/>
      <c r="F18" s="110"/>
      <c r="G18" s="110"/>
      <c r="H18" s="110"/>
      <c r="I18" s="110"/>
      <c r="J18" s="110"/>
      <c r="K18" s="110"/>
      <c r="L18" s="110"/>
      <c r="M18" s="112" t="s">
        <v>731</v>
      </c>
      <c r="N18" s="110"/>
      <c r="O18" s="110"/>
      <c r="P18" s="110"/>
      <c r="Q18" s="115">
        <v>2028</v>
      </c>
      <c r="R18" s="110"/>
      <c r="S18" s="115">
        <v>19</v>
      </c>
      <c r="X18" s="146" t="s">
        <v>1383</v>
      </c>
    </row>
    <row r="19" spans="1:24" ht="12" customHeight="1">
      <c r="A19" s="110" t="s">
        <v>43</v>
      </c>
      <c r="B19" s="111" t="s">
        <v>732</v>
      </c>
      <c r="C19" s="119" t="s">
        <v>733</v>
      </c>
      <c r="D19" s="110"/>
      <c r="E19" s="110"/>
      <c r="F19" s="110"/>
      <c r="G19" s="110"/>
      <c r="H19" s="110"/>
      <c r="I19" s="110"/>
      <c r="J19" s="110"/>
      <c r="K19" s="110"/>
      <c r="L19" s="110"/>
      <c r="M19" s="116" t="str">
        <f>"01.01." &amp; PERIOD</f>
        <v>01.01.2021</v>
      </c>
      <c r="N19" s="110"/>
      <c r="O19" s="110"/>
      <c r="P19" s="110"/>
      <c r="Q19" s="115">
        <v>2029</v>
      </c>
      <c r="R19" s="110"/>
      <c r="S19" s="115">
        <v>20</v>
      </c>
      <c r="X19" s="146" t="s">
        <v>777</v>
      </c>
    </row>
    <row r="20" spans="1:24" ht="12" customHeight="1">
      <c r="A20" s="110" t="s">
        <v>44</v>
      </c>
      <c r="B20" s="111" t="s">
        <v>734</v>
      </c>
      <c r="C20" s="110" t="s">
        <v>44</v>
      </c>
      <c r="D20" s="110"/>
      <c r="E20" s="110"/>
      <c r="F20" s="110"/>
      <c r="G20" s="110"/>
      <c r="H20" s="110"/>
      <c r="I20" s="110"/>
      <c r="J20" s="110"/>
      <c r="K20" s="110"/>
      <c r="L20" s="110"/>
      <c r="M20" s="116" t="str">
        <f>"31.12." &amp; PERIOD</f>
        <v>31.12.2021</v>
      </c>
      <c r="N20" s="110"/>
      <c r="O20" s="110"/>
      <c r="P20" s="110"/>
      <c r="Q20" s="115">
        <v>2030</v>
      </c>
      <c r="R20" s="110"/>
      <c r="S20" s="115">
        <v>21</v>
      </c>
      <c r="X20" s="146" t="s">
        <v>767</v>
      </c>
    </row>
    <row r="21" spans="1:24" ht="12" customHeight="1">
      <c r="A21" s="110" t="s">
        <v>45</v>
      </c>
      <c r="B21" s="111" t="s">
        <v>735</v>
      </c>
      <c r="C21" s="110" t="s">
        <v>45</v>
      </c>
      <c r="D21" s="110"/>
      <c r="E21" s="110"/>
      <c r="F21" s="110"/>
      <c r="G21" s="110"/>
      <c r="H21" s="110"/>
      <c r="I21" s="110"/>
      <c r="J21" s="110"/>
      <c r="K21" s="110"/>
      <c r="L21" s="110"/>
      <c r="M21" s="110"/>
      <c r="N21" s="110"/>
      <c r="O21" s="110"/>
      <c r="P21" s="110"/>
      <c r="Q21" s="110"/>
      <c r="R21" s="110"/>
      <c r="S21" s="115">
        <v>22</v>
      </c>
      <c r="X21" s="146" t="s">
        <v>769</v>
      </c>
    </row>
    <row r="22" spans="1:24" ht="12" customHeight="1">
      <c r="A22" s="110" t="s">
        <v>46</v>
      </c>
      <c r="B22" s="111" t="s">
        <v>736</v>
      </c>
      <c r="C22" s="110" t="s">
        <v>46</v>
      </c>
      <c r="D22" s="110"/>
      <c r="E22" s="110"/>
      <c r="F22" s="110"/>
      <c r="G22" s="110"/>
      <c r="H22" s="110"/>
      <c r="I22" s="110"/>
      <c r="J22" s="110"/>
      <c r="K22" s="110"/>
      <c r="L22" s="110"/>
      <c r="M22" s="110"/>
      <c r="N22" s="110"/>
      <c r="O22" s="110"/>
      <c r="P22" s="110"/>
      <c r="Q22" s="110"/>
      <c r="R22" s="110"/>
      <c r="S22" s="115">
        <v>23</v>
      </c>
      <c r="X22" s="146" t="s">
        <v>771</v>
      </c>
    </row>
    <row r="23" spans="1:24" ht="12" customHeight="1">
      <c r="A23" s="110" t="s">
        <v>47</v>
      </c>
      <c r="B23" s="111" t="s">
        <v>737</v>
      </c>
      <c r="C23" s="119" t="s">
        <v>738</v>
      </c>
      <c r="D23" s="110"/>
      <c r="E23" s="110"/>
      <c r="F23" s="110"/>
      <c r="G23" s="110"/>
      <c r="H23" s="110"/>
      <c r="I23" s="110"/>
      <c r="J23" s="110"/>
      <c r="K23" s="110"/>
      <c r="L23" s="110"/>
      <c r="M23" s="110"/>
      <c r="N23" s="110"/>
      <c r="O23" s="110"/>
      <c r="P23" s="110"/>
      <c r="Q23" s="110"/>
      <c r="R23" s="110"/>
      <c r="S23" s="115">
        <v>24</v>
      </c>
      <c r="X23" s="146" t="s">
        <v>773</v>
      </c>
    </row>
    <row r="24" spans="1:24" ht="12" customHeight="1">
      <c r="A24" s="110" t="s">
        <v>48</v>
      </c>
      <c r="B24" s="111" t="s">
        <v>739</v>
      </c>
      <c r="C24" s="110" t="s">
        <v>48</v>
      </c>
      <c r="D24" s="110"/>
      <c r="E24" s="110"/>
      <c r="F24" s="110"/>
      <c r="G24" s="110"/>
      <c r="H24" s="110"/>
      <c r="I24" s="110"/>
      <c r="J24" s="110"/>
      <c r="K24" s="110"/>
      <c r="L24" s="110"/>
      <c r="M24" s="110"/>
      <c r="N24" s="110"/>
      <c r="O24" s="110"/>
      <c r="P24" s="110"/>
      <c r="Q24" s="110"/>
      <c r="R24" s="110"/>
      <c r="S24" s="115">
        <v>25</v>
      </c>
      <c r="X24" s="146" t="s">
        <v>1384</v>
      </c>
    </row>
    <row r="25" spans="1:24" ht="12" customHeight="1">
      <c r="A25" s="110" t="s">
        <v>49</v>
      </c>
      <c r="B25" s="111" t="s">
        <v>740</v>
      </c>
      <c r="C25" s="110" t="s">
        <v>49</v>
      </c>
      <c r="D25" s="110"/>
      <c r="E25" s="110"/>
      <c r="F25" s="110"/>
      <c r="G25" s="110"/>
      <c r="H25" s="110"/>
      <c r="I25" s="110"/>
      <c r="J25" s="110"/>
      <c r="K25" s="110"/>
      <c r="L25" s="110"/>
      <c r="M25" s="110"/>
      <c r="N25" s="110"/>
      <c r="O25" s="110"/>
      <c r="P25" s="110"/>
      <c r="Q25" s="110"/>
      <c r="R25" s="110"/>
      <c r="S25" s="115">
        <v>26</v>
      </c>
      <c r="X25" s="146" t="s">
        <v>1385</v>
      </c>
    </row>
    <row r="26" spans="1:24" ht="12" customHeight="1">
      <c r="A26" s="110" t="s">
        <v>50</v>
      </c>
      <c r="B26" s="111" t="s">
        <v>741</v>
      </c>
      <c r="C26" s="110" t="s">
        <v>50</v>
      </c>
      <c r="D26" s="110"/>
      <c r="E26" s="110"/>
      <c r="F26" s="110"/>
      <c r="G26" s="110"/>
      <c r="H26" s="110"/>
      <c r="I26" s="110"/>
      <c r="J26" s="110"/>
      <c r="K26" s="110"/>
      <c r="L26" s="110"/>
      <c r="M26" s="110"/>
      <c r="N26" s="110"/>
      <c r="O26" s="110"/>
      <c r="P26" s="110"/>
      <c r="Q26" s="110"/>
      <c r="R26" s="110"/>
      <c r="S26" s="115">
        <v>27</v>
      </c>
      <c r="X26" s="146" t="s">
        <v>1386</v>
      </c>
    </row>
    <row r="27" spans="1:24" ht="12" customHeight="1">
      <c r="A27" s="110" t="s">
        <v>51</v>
      </c>
      <c r="B27" s="111" t="s">
        <v>742</v>
      </c>
      <c r="C27" s="110" t="s">
        <v>51</v>
      </c>
      <c r="D27" s="110"/>
      <c r="E27" s="110"/>
      <c r="F27" s="110"/>
      <c r="G27" s="110"/>
      <c r="H27" s="110"/>
      <c r="I27" s="110"/>
      <c r="J27" s="110"/>
      <c r="K27" s="110"/>
      <c r="L27" s="110"/>
      <c r="M27" s="110"/>
      <c r="N27" s="110"/>
      <c r="O27" s="110"/>
      <c r="P27" s="110"/>
      <c r="Q27" s="110"/>
      <c r="R27" s="110"/>
      <c r="S27" s="115">
        <v>28</v>
      </c>
      <c r="X27" s="146" t="s">
        <v>1387</v>
      </c>
    </row>
    <row r="28" spans="1:24" ht="12" customHeight="1">
      <c r="A28" s="110" t="s">
        <v>52</v>
      </c>
      <c r="B28" s="111" t="s">
        <v>743</v>
      </c>
      <c r="C28" s="110" t="s">
        <v>52</v>
      </c>
      <c r="D28" s="110"/>
      <c r="E28" s="110"/>
      <c r="F28" s="110"/>
      <c r="G28" s="110"/>
      <c r="H28" s="110"/>
      <c r="I28" s="110"/>
      <c r="J28" s="110"/>
      <c r="K28" s="110"/>
      <c r="L28" s="110"/>
      <c r="M28" s="110"/>
      <c r="N28" s="110"/>
      <c r="O28" s="110"/>
      <c r="P28" s="110"/>
      <c r="Q28" s="110"/>
      <c r="R28" s="110"/>
      <c r="S28" s="115">
        <v>29</v>
      </c>
      <c r="X28" s="146" t="s">
        <v>1388</v>
      </c>
    </row>
    <row r="29" spans="1:24" ht="12" customHeight="1">
      <c r="A29" s="110" t="s">
        <v>53</v>
      </c>
      <c r="B29" s="111" t="s">
        <v>744</v>
      </c>
      <c r="C29" s="110" t="s">
        <v>53</v>
      </c>
      <c r="D29" s="110"/>
      <c r="E29" s="110"/>
      <c r="F29" s="110"/>
      <c r="G29" s="110"/>
      <c r="H29" s="110"/>
      <c r="I29" s="110"/>
      <c r="J29" s="110"/>
      <c r="K29" s="110"/>
      <c r="L29" s="110"/>
      <c r="M29" s="110"/>
      <c r="N29" s="110"/>
      <c r="O29" s="110"/>
      <c r="P29" s="110"/>
      <c r="Q29" s="110"/>
      <c r="R29" s="110"/>
      <c r="S29" s="115">
        <v>30</v>
      </c>
      <c r="X29" s="146" t="s">
        <v>1389</v>
      </c>
    </row>
    <row r="30" spans="1:24" ht="12" customHeight="1">
      <c r="A30" s="110" t="s">
        <v>54</v>
      </c>
      <c r="B30" s="111" t="s">
        <v>745</v>
      </c>
      <c r="C30" s="110" t="s">
        <v>54</v>
      </c>
      <c r="D30" s="110"/>
      <c r="E30" s="110"/>
      <c r="F30" s="110"/>
      <c r="G30" s="110"/>
      <c r="H30" s="110"/>
      <c r="I30" s="110"/>
      <c r="J30" s="110"/>
      <c r="K30" s="110"/>
      <c r="L30" s="110"/>
      <c r="M30" s="110"/>
      <c r="N30" s="110"/>
      <c r="O30" s="110"/>
      <c r="P30" s="110"/>
      <c r="Q30" s="110"/>
      <c r="R30" s="110"/>
      <c r="S30" s="115">
        <v>31</v>
      </c>
      <c r="X30" s="146" t="s">
        <v>1390</v>
      </c>
    </row>
    <row r="31" spans="1:24" ht="12" customHeight="1">
      <c r="A31" s="110" t="s">
        <v>55</v>
      </c>
      <c r="B31" s="111" t="s">
        <v>746</v>
      </c>
      <c r="C31" s="110" t="s">
        <v>55</v>
      </c>
      <c r="D31" s="110"/>
      <c r="E31" s="110"/>
      <c r="F31" s="110"/>
      <c r="G31" s="110"/>
      <c r="H31" s="110"/>
      <c r="I31" s="110"/>
      <c r="J31" s="110"/>
      <c r="K31" s="110"/>
      <c r="L31" s="110"/>
      <c r="M31" s="110"/>
      <c r="N31" s="110"/>
      <c r="O31" s="110"/>
      <c r="P31" s="110"/>
      <c r="Q31" s="110"/>
      <c r="R31" s="110"/>
      <c r="S31" s="115">
        <v>32</v>
      </c>
      <c r="X31" s="146" t="s">
        <v>1391</v>
      </c>
    </row>
    <row r="32" spans="1:24" ht="12" customHeight="1">
      <c r="A32" s="110" t="s">
        <v>56</v>
      </c>
      <c r="B32" s="111" t="s">
        <v>747</v>
      </c>
      <c r="C32" s="110" t="s">
        <v>56</v>
      </c>
      <c r="D32" s="110"/>
      <c r="E32" s="110"/>
      <c r="F32" s="110"/>
      <c r="G32" s="110"/>
      <c r="H32" s="110"/>
      <c r="I32" s="110"/>
      <c r="J32" s="110"/>
      <c r="K32" s="110"/>
      <c r="L32" s="110"/>
      <c r="M32" s="110"/>
      <c r="N32" s="110"/>
      <c r="O32" s="110"/>
      <c r="P32" s="110"/>
      <c r="Q32" s="110"/>
      <c r="R32" s="110"/>
      <c r="S32" s="115">
        <v>33</v>
      </c>
      <c r="X32" s="146" t="s">
        <v>1392</v>
      </c>
    </row>
    <row r="33" spans="1:24" ht="12" customHeight="1">
      <c r="A33" s="110" t="s">
        <v>57</v>
      </c>
      <c r="B33" s="111" t="s">
        <v>748</v>
      </c>
      <c r="C33" s="110" t="s">
        <v>57</v>
      </c>
      <c r="D33" s="110"/>
      <c r="E33" s="110"/>
      <c r="F33" s="110"/>
      <c r="G33" s="110"/>
      <c r="H33" s="110"/>
      <c r="I33" s="110"/>
      <c r="J33" s="110"/>
      <c r="K33" s="110"/>
      <c r="L33" s="110"/>
      <c r="M33" s="110"/>
      <c r="N33" s="110"/>
      <c r="O33" s="110"/>
      <c r="P33" s="110"/>
      <c r="Q33" s="110"/>
      <c r="R33" s="110"/>
      <c r="S33" s="115">
        <v>34</v>
      </c>
      <c r="X33" s="146" t="s">
        <v>1393</v>
      </c>
    </row>
    <row r="34" spans="1:24" ht="12" customHeight="1">
      <c r="A34" s="110" t="s">
        <v>58</v>
      </c>
      <c r="B34" s="111" t="s">
        <v>749</v>
      </c>
      <c r="C34" s="110" t="s">
        <v>58</v>
      </c>
      <c r="D34" s="110"/>
      <c r="E34" s="110"/>
      <c r="F34" s="110"/>
      <c r="G34" s="110"/>
      <c r="H34" s="110"/>
      <c r="I34" s="110"/>
      <c r="J34" s="110"/>
      <c r="K34" s="110"/>
      <c r="L34" s="110"/>
      <c r="M34" s="110"/>
      <c r="N34" s="110"/>
      <c r="O34" s="110"/>
      <c r="P34" s="110"/>
      <c r="Q34" s="110"/>
      <c r="R34" s="110"/>
      <c r="S34" s="115">
        <v>35</v>
      </c>
      <c r="X34" s="146" t="s">
        <v>1394</v>
      </c>
    </row>
    <row r="35" spans="1:24" ht="12" customHeight="1">
      <c r="A35" s="110" t="s">
        <v>22</v>
      </c>
      <c r="B35" s="111" t="s">
        <v>750</v>
      </c>
      <c r="C35" s="110" t="s">
        <v>22</v>
      </c>
      <c r="D35" s="110"/>
      <c r="E35" s="110"/>
      <c r="F35" s="110"/>
      <c r="G35" s="110"/>
      <c r="H35" s="110"/>
      <c r="I35" s="110"/>
      <c r="J35" s="110"/>
      <c r="K35" s="110"/>
      <c r="L35" s="110"/>
      <c r="M35" s="110"/>
      <c r="N35" s="110"/>
      <c r="O35" s="110"/>
      <c r="P35" s="110"/>
      <c r="Q35" s="110"/>
      <c r="R35" s="110"/>
      <c r="S35" s="115">
        <v>36</v>
      </c>
      <c r="X35" s="146" t="s">
        <v>1395</v>
      </c>
    </row>
    <row r="36" spans="1:24" ht="12" customHeight="1">
      <c r="A36" s="110" t="s">
        <v>23</v>
      </c>
      <c r="B36" s="111" t="s">
        <v>751</v>
      </c>
      <c r="C36" s="110" t="s">
        <v>23</v>
      </c>
      <c r="D36" s="110"/>
      <c r="E36" s="110"/>
      <c r="F36" s="110"/>
      <c r="G36" s="110"/>
      <c r="H36" s="110"/>
      <c r="I36" s="110"/>
      <c r="J36" s="110"/>
      <c r="K36" s="110"/>
      <c r="L36" s="110"/>
      <c r="M36" s="110"/>
      <c r="N36" s="110"/>
      <c r="O36" s="110"/>
      <c r="P36" s="110"/>
      <c r="Q36" s="110"/>
      <c r="R36" s="110"/>
      <c r="S36" s="115">
        <v>37</v>
      </c>
      <c r="X36" s="146" t="s">
        <v>1396</v>
      </c>
    </row>
    <row r="37" spans="1:24" ht="12" customHeight="1">
      <c r="A37" s="110" t="s">
        <v>24</v>
      </c>
      <c r="B37" s="111" t="s">
        <v>752</v>
      </c>
      <c r="C37" s="110" t="s">
        <v>24</v>
      </c>
      <c r="D37" s="110"/>
      <c r="E37" s="110"/>
      <c r="F37" s="110"/>
      <c r="G37" s="110"/>
      <c r="H37" s="110"/>
      <c r="I37" s="110"/>
      <c r="J37" s="110"/>
      <c r="K37" s="110"/>
      <c r="L37" s="110"/>
      <c r="M37" s="110"/>
      <c r="N37" s="110"/>
      <c r="O37" s="110"/>
      <c r="P37" s="110"/>
      <c r="Q37" s="110"/>
      <c r="R37" s="110"/>
      <c r="S37" s="115">
        <v>38</v>
      </c>
    </row>
    <row r="38" spans="1:24" ht="12" customHeight="1">
      <c r="A38" s="110" t="s">
        <v>25</v>
      </c>
      <c r="B38" s="111" t="s">
        <v>753</v>
      </c>
      <c r="C38" s="110" t="s">
        <v>25</v>
      </c>
      <c r="D38" s="110"/>
      <c r="E38" s="110"/>
      <c r="F38" s="110"/>
      <c r="G38" s="110"/>
      <c r="H38" s="110"/>
      <c r="I38" s="110"/>
      <c r="J38" s="110"/>
      <c r="K38" s="117" t="s">
        <v>754</v>
      </c>
      <c r="L38" s="110"/>
      <c r="M38" s="110"/>
      <c r="N38" s="110"/>
      <c r="O38" s="110"/>
      <c r="P38" s="110"/>
      <c r="Q38" s="110"/>
      <c r="R38" s="110"/>
      <c r="S38" s="115">
        <v>39</v>
      </c>
    </row>
    <row r="39" spans="1:24" ht="12" customHeight="1">
      <c r="A39" s="110" t="s">
        <v>26</v>
      </c>
      <c r="B39" s="111" t="s">
        <v>755</v>
      </c>
      <c r="C39" s="110" t="s">
        <v>26</v>
      </c>
      <c r="D39" s="110"/>
      <c r="E39" s="110"/>
      <c r="F39" s="110"/>
      <c r="G39" s="110"/>
      <c r="H39" s="110"/>
      <c r="I39" s="110"/>
      <c r="J39" s="110"/>
      <c r="K39" s="118" t="s">
        <v>756</v>
      </c>
      <c r="L39" s="110"/>
      <c r="M39" s="110"/>
      <c r="N39" s="110"/>
      <c r="O39" s="110"/>
      <c r="P39" s="110"/>
      <c r="Q39" s="110"/>
      <c r="R39" s="110"/>
      <c r="S39" s="115">
        <v>40</v>
      </c>
    </row>
    <row r="40" spans="1:24" ht="12" customHeight="1">
      <c r="A40" s="110" t="s">
        <v>27</v>
      </c>
      <c r="B40" s="111" t="s">
        <v>757</v>
      </c>
      <c r="C40" s="110" t="s">
        <v>27</v>
      </c>
      <c r="D40" s="110"/>
      <c r="E40" s="110"/>
      <c r="F40" s="110"/>
      <c r="G40" s="110"/>
      <c r="H40" s="110"/>
      <c r="I40" s="110"/>
      <c r="J40" s="110"/>
      <c r="K40" s="118" t="s">
        <v>758</v>
      </c>
      <c r="L40" s="110"/>
      <c r="M40" s="110"/>
      <c r="N40" s="110"/>
      <c r="O40" s="110"/>
      <c r="P40" s="110"/>
      <c r="Q40" s="110"/>
      <c r="R40" s="110"/>
      <c r="S40" s="115">
        <v>41</v>
      </c>
    </row>
    <row r="41" spans="1:24" ht="12" customHeight="1">
      <c r="A41" s="110" t="s">
        <v>59</v>
      </c>
      <c r="B41" s="111" t="s">
        <v>759</v>
      </c>
      <c r="C41" s="110" t="s">
        <v>59</v>
      </c>
      <c r="D41" s="110"/>
      <c r="E41" s="110"/>
      <c r="F41" s="110"/>
      <c r="G41" s="110"/>
      <c r="H41" s="110"/>
      <c r="I41" s="110"/>
      <c r="J41" s="110"/>
      <c r="K41" s="118" t="s">
        <v>250</v>
      </c>
      <c r="L41" s="110"/>
      <c r="M41" s="110"/>
      <c r="N41" s="110"/>
      <c r="O41" s="110"/>
      <c r="P41" s="110"/>
      <c r="Q41" s="110"/>
      <c r="R41" s="110"/>
      <c r="S41" s="115">
        <v>42</v>
      </c>
    </row>
    <row r="42" spans="1:24" ht="12" customHeight="1">
      <c r="A42" s="110" t="s">
        <v>60</v>
      </c>
      <c r="B42" s="111" t="s">
        <v>760</v>
      </c>
      <c r="C42" s="110" t="s">
        <v>60</v>
      </c>
      <c r="D42" s="110"/>
      <c r="E42" s="110"/>
      <c r="F42" s="110"/>
      <c r="G42" s="110"/>
      <c r="H42" s="110"/>
      <c r="I42" s="110"/>
      <c r="J42" s="110"/>
      <c r="K42" s="118" t="s">
        <v>761</v>
      </c>
      <c r="L42" s="110"/>
      <c r="M42" s="110"/>
      <c r="N42" s="110"/>
      <c r="O42" s="110"/>
      <c r="P42" s="110"/>
      <c r="Q42" s="110"/>
      <c r="R42" s="110"/>
      <c r="S42" s="115">
        <v>43</v>
      </c>
    </row>
    <row r="43" spans="1:24" ht="12" customHeight="1">
      <c r="A43" s="110" t="s">
        <v>61</v>
      </c>
      <c r="B43" s="111" t="s">
        <v>762</v>
      </c>
      <c r="C43" s="110" t="s">
        <v>61</v>
      </c>
      <c r="D43" s="110"/>
      <c r="E43" s="110"/>
      <c r="F43" s="110"/>
      <c r="G43" s="110"/>
      <c r="H43" s="110"/>
      <c r="I43" s="110"/>
      <c r="J43" s="110"/>
      <c r="K43" s="110"/>
      <c r="L43" s="110"/>
      <c r="M43" s="110"/>
      <c r="N43" s="110"/>
      <c r="O43" s="110"/>
      <c r="P43" s="110"/>
      <c r="Q43" s="110"/>
      <c r="R43" s="110"/>
      <c r="S43" s="115">
        <v>44</v>
      </c>
    </row>
    <row r="44" spans="1:24" ht="12" customHeight="1">
      <c r="A44" s="110" t="s">
        <v>62</v>
      </c>
      <c r="B44" s="111" t="s">
        <v>763</v>
      </c>
      <c r="C44" s="110" t="s">
        <v>62</v>
      </c>
      <c r="D44" s="110"/>
      <c r="E44" s="110"/>
      <c r="F44" s="110"/>
      <c r="G44" s="110"/>
      <c r="H44" s="110"/>
      <c r="I44" s="110"/>
      <c r="J44" s="110"/>
      <c r="K44" s="110"/>
      <c r="L44" s="110"/>
      <c r="M44" s="110"/>
      <c r="N44" s="110"/>
      <c r="O44" s="110"/>
      <c r="P44" s="110"/>
      <c r="Q44" s="110"/>
      <c r="R44" s="110"/>
      <c r="S44" s="115">
        <v>45</v>
      </c>
    </row>
    <row r="45" spans="1:24" ht="12" customHeight="1">
      <c r="A45" s="110" t="s">
        <v>63</v>
      </c>
      <c r="B45" s="111" t="s">
        <v>764</v>
      </c>
      <c r="C45" s="110" t="s">
        <v>63</v>
      </c>
      <c r="D45" s="110"/>
      <c r="E45" s="110"/>
      <c r="F45" s="110"/>
      <c r="G45" s="110"/>
      <c r="H45" s="110"/>
      <c r="I45" s="110"/>
      <c r="J45" s="110"/>
      <c r="K45" s="117" t="s">
        <v>765</v>
      </c>
      <c r="L45" s="110"/>
      <c r="M45" s="110"/>
      <c r="N45" s="110"/>
      <c r="O45" s="110"/>
      <c r="P45" s="110"/>
      <c r="Q45" s="110"/>
      <c r="R45" s="110"/>
      <c r="S45" s="115">
        <v>46</v>
      </c>
    </row>
    <row r="46" spans="1:24" ht="12" customHeight="1">
      <c r="A46" s="110" t="s">
        <v>84</v>
      </c>
      <c r="B46" s="111" t="s">
        <v>766</v>
      </c>
      <c r="C46" s="110" t="s">
        <v>84</v>
      </c>
      <c r="D46" s="110"/>
      <c r="E46" s="110"/>
      <c r="F46" s="110"/>
      <c r="G46" s="110"/>
      <c r="H46" s="110"/>
      <c r="I46" s="110"/>
      <c r="J46" s="110"/>
      <c r="K46" s="118" t="s">
        <v>767</v>
      </c>
      <c r="L46" s="110"/>
      <c r="M46" s="110"/>
      <c r="N46" s="110"/>
      <c r="O46" s="110"/>
      <c r="P46" s="110"/>
      <c r="Q46" s="110"/>
      <c r="R46" s="110"/>
      <c r="S46" s="115">
        <v>47</v>
      </c>
    </row>
    <row r="47" spans="1:24" ht="12" customHeight="1">
      <c r="A47" s="110" t="s">
        <v>85</v>
      </c>
      <c r="B47" s="111" t="s">
        <v>768</v>
      </c>
      <c r="C47" s="110" t="s">
        <v>85</v>
      </c>
      <c r="D47" s="110"/>
      <c r="E47" s="110"/>
      <c r="F47" s="110"/>
      <c r="G47" s="110"/>
      <c r="H47" s="110"/>
      <c r="I47" s="110"/>
      <c r="J47" s="110"/>
      <c r="K47" s="118" t="s">
        <v>769</v>
      </c>
      <c r="L47" s="110"/>
      <c r="M47" s="110"/>
      <c r="N47" s="110"/>
      <c r="O47" s="110"/>
      <c r="P47" s="110"/>
      <c r="Q47" s="110"/>
      <c r="R47" s="110"/>
      <c r="S47" s="115">
        <v>48</v>
      </c>
    </row>
    <row r="48" spans="1:24" ht="12" customHeight="1">
      <c r="A48" s="110" t="s">
        <v>86</v>
      </c>
      <c r="B48" s="111" t="s">
        <v>770</v>
      </c>
      <c r="C48" s="110" t="s">
        <v>86</v>
      </c>
      <c r="D48" s="110"/>
      <c r="E48" s="110"/>
      <c r="F48" s="110"/>
      <c r="G48" s="110"/>
      <c r="H48" s="110"/>
      <c r="I48" s="110"/>
      <c r="J48" s="110"/>
      <c r="K48" s="118" t="s">
        <v>771</v>
      </c>
      <c r="L48" s="110"/>
      <c r="M48" s="110"/>
      <c r="N48" s="110"/>
      <c r="O48" s="110"/>
      <c r="P48" s="110"/>
      <c r="Q48" s="110"/>
      <c r="R48" s="110"/>
      <c r="S48" s="115">
        <v>49</v>
      </c>
    </row>
    <row r="49" spans="1:19" ht="12" customHeight="1">
      <c r="A49" s="110" t="s">
        <v>64</v>
      </c>
      <c r="B49" s="111" t="s">
        <v>772</v>
      </c>
      <c r="C49" s="110" t="s">
        <v>64</v>
      </c>
      <c r="D49" s="110"/>
      <c r="E49" s="110"/>
      <c r="F49" s="110"/>
      <c r="G49" s="110"/>
      <c r="H49" s="110"/>
      <c r="I49" s="110"/>
      <c r="J49" s="110"/>
      <c r="K49" s="118" t="s">
        <v>773</v>
      </c>
      <c r="L49" s="110"/>
      <c r="M49" s="110"/>
      <c r="N49" s="110"/>
      <c r="O49" s="110"/>
      <c r="P49" s="110"/>
      <c r="Q49" s="110"/>
      <c r="R49" s="110"/>
      <c r="S49" s="115">
        <v>50</v>
      </c>
    </row>
    <row r="50" spans="1:19" ht="12" customHeight="1">
      <c r="A50" s="110" t="s">
        <v>65</v>
      </c>
      <c r="B50" s="111" t="s">
        <v>774</v>
      </c>
      <c r="C50" s="110" t="s">
        <v>65</v>
      </c>
      <c r="D50" s="110"/>
      <c r="E50" s="110"/>
      <c r="F50" s="110"/>
      <c r="G50" s="110"/>
      <c r="H50" s="110"/>
      <c r="I50" s="110"/>
      <c r="J50" s="110"/>
      <c r="K50" s="118" t="s">
        <v>775</v>
      </c>
      <c r="L50" s="110"/>
      <c r="M50" s="110"/>
      <c r="N50" s="110"/>
      <c r="O50" s="110"/>
      <c r="P50" s="110"/>
      <c r="Q50" s="110"/>
      <c r="R50" s="110"/>
    </row>
    <row r="51" spans="1:19" ht="12" customHeight="1">
      <c r="A51" s="110" t="s">
        <v>66</v>
      </c>
      <c r="B51" s="111" t="s">
        <v>776</v>
      </c>
      <c r="C51" s="110" t="s">
        <v>66</v>
      </c>
      <c r="D51" s="110"/>
      <c r="E51" s="110"/>
      <c r="F51" s="110"/>
      <c r="G51" s="110"/>
      <c r="H51" s="110"/>
      <c r="I51" s="110"/>
      <c r="J51" s="110"/>
      <c r="K51" s="118" t="s">
        <v>777</v>
      </c>
      <c r="L51" s="110"/>
      <c r="M51" s="110"/>
      <c r="N51" s="110"/>
      <c r="O51" s="110"/>
      <c r="P51" s="110"/>
      <c r="Q51" s="110"/>
      <c r="R51" s="110"/>
    </row>
    <row r="52" spans="1:19" ht="12" customHeight="1">
      <c r="A52" s="110" t="s">
        <v>67</v>
      </c>
      <c r="B52" s="111" t="s">
        <v>778</v>
      </c>
      <c r="C52" s="110" t="s">
        <v>67</v>
      </c>
      <c r="D52" s="110"/>
      <c r="E52" s="110"/>
      <c r="F52" s="110"/>
      <c r="G52" s="110"/>
      <c r="H52" s="110"/>
      <c r="I52" s="110"/>
      <c r="J52" s="110"/>
      <c r="K52" s="118" t="s">
        <v>779</v>
      </c>
      <c r="L52" s="110"/>
      <c r="M52" s="110"/>
      <c r="N52" s="110"/>
      <c r="O52" s="110"/>
      <c r="P52" s="110"/>
      <c r="Q52" s="110"/>
      <c r="R52" s="110"/>
    </row>
    <row r="53" spans="1:19" ht="12" customHeight="1">
      <c r="A53" s="110" t="s">
        <v>68</v>
      </c>
      <c r="B53" s="111" t="s">
        <v>780</v>
      </c>
      <c r="C53" s="110" t="s">
        <v>68</v>
      </c>
      <c r="D53" s="110"/>
      <c r="E53" s="110"/>
      <c r="F53" s="110"/>
      <c r="G53" s="110"/>
      <c r="H53" s="110"/>
      <c r="I53" s="110"/>
      <c r="J53" s="110"/>
      <c r="K53" s="110"/>
      <c r="L53" s="110"/>
      <c r="M53" s="110"/>
      <c r="N53" s="110"/>
      <c r="O53" s="110"/>
      <c r="P53" s="110"/>
      <c r="Q53" s="110"/>
      <c r="R53" s="110"/>
    </row>
    <row r="54" spans="1:19" ht="12" customHeight="1">
      <c r="A54" s="110" t="s">
        <v>69</v>
      </c>
      <c r="B54" s="111" t="s">
        <v>781</v>
      </c>
      <c r="C54" s="110" t="s">
        <v>69</v>
      </c>
      <c r="D54" s="110"/>
      <c r="E54" s="110"/>
      <c r="F54" s="110"/>
      <c r="G54" s="110"/>
      <c r="H54" s="110"/>
      <c r="I54" s="110"/>
      <c r="J54" s="110"/>
      <c r="K54" s="110"/>
      <c r="L54" s="110"/>
      <c r="M54" s="110"/>
      <c r="N54" s="110"/>
      <c r="O54" s="110"/>
      <c r="P54" s="110"/>
      <c r="Q54" s="110"/>
      <c r="R54" s="110"/>
    </row>
    <row r="55" spans="1:19" ht="12" customHeight="1">
      <c r="A55" s="110" t="s">
        <v>70</v>
      </c>
      <c r="B55" s="111" t="s">
        <v>782</v>
      </c>
      <c r="C55" s="110" t="s">
        <v>70</v>
      </c>
      <c r="D55" s="110"/>
      <c r="E55" s="110"/>
      <c r="F55" s="110"/>
      <c r="G55" s="110"/>
      <c r="H55" s="110"/>
      <c r="I55" s="110"/>
      <c r="J55" s="110"/>
      <c r="K55" s="110"/>
      <c r="L55" s="110"/>
      <c r="M55" s="110"/>
      <c r="N55" s="110"/>
      <c r="O55" s="110"/>
      <c r="P55" s="110"/>
      <c r="Q55" s="110"/>
      <c r="R55" s="110"/>
    </row>
    <row r="56" spans="1:19" ht="12" customHeight="1">
      <c r="A56" s="110" t="s">
        <v>159</v>
      </c>
      <c r="B56" s="121" t="s">
        <v>783</v>
      </c>
      <c r="C56" s="124" t="s">
        <v>784</v>
      </c>
      <c r="D56" s="110"/>
      <c r="E56" s="110"/>
      <c r="F56" s="110"/>
      <c r="G56" s="110"/>
      <c r="H56" s="110"/>
      <c r="I56" s="110"/>
      <c r="J56" s="110"/>
      <c r="K56" s="110"/>
      <c r="L56" s="110"/>
      <c r="M56" s="110"/>
      <c r="N56" s="110"/>
      <c r="O56" s="110"/>
      <c r="P56" s="110"/>
      <c r="Q56" s="110"/>
      <c r="R56" s="110"/>
    </row>
    <row r="57" spans="1:19" ht="12" customHeight="1">
      <c r="A57" s="110" t="s">
        <v>71</v>
      </c>
      <c r="B57" s="111" t="s">
        <v>785</v>
      </c>
      <c r="C57" s="110" t="s">
        <v>71</v>
      </c>
      <c r="D57" s="110"/>
      <c r="E57" s="110"/>
      <c r="F57" s="110"/>
      <c r="G57" s="110"/>
      <c r="H57" s="110"/>
      <c r="I57" s="110"/>
      <c r="J57" s="110"/>
      <c r="K57" s="110"/>
      <c r="L57" s="110"/>
      <c r="M57" s="110"/>
      <c r="N57" s="110"/>
      <c r="O57" s="110"/>
      <c r="P57" s="110"/>
      <c r="Q57" s="110"/>
      <c r="R57" s="110"/>
    </row>
    <row r="58" spans="1:19" ht="12" customHeight="1">
      <c r="A58" s="110" t="s">
        <v>72</v>
      </c>
      <c r="B58" s="111" t="s">
        <v>786</v>
      </c>
      <c r="C58" s="110" t="s">
        <v>72</v>
      </c>
      <c r="D58" s="110"/>
      <c r="E58" s="110"/>
      <c r="F58" s="110"/>
      <c r="G58" s="110"/>
      <c r="H58" s="110"/>
      <c r="I58" s="110"/>
      <c r="J58" s="110"/>
      <c r="K58" s="110"/>
      <c r="L58" s="110"/>
      <c r="M58" s="110"/>
      <c r="N58" s="110"/>
      <c r="O58" s="110"/>
      <c r="P58" s="110"/>
      <c r="Q58" s="110"/>
      <c r="R58" s="110"/>
    </row>
    <row r="59" spans="1:19" ht="12" customHeight="1">
      <c r="A59" s="110" t="s">
        <v>73</v>
      </c>
      <c r="B59" s="111" t="s">
        <v>787</v>
      </c>
      <c r="C59" s="110" t="s">
        <v>73</v>
      </c>
      <c r="D59" s="110"/>
      <c r="E59" s="110"/>
      <c r="F59" s="110"/>
      <c r="G59" s="110"/>
      <c r="H59" s="110"/>
      <c r="I59" s="110"/>
      <c r="J59" s="110"/>
      <c r="K59" s="110"/>
      <c r="L59" s="110"/>
      <c r="M59" s="110"/>
      <c r="N59" s="110"/>
      <c r="O59" s="110"/>
      <c r="P59" s="110"/>
      <c r="Q59" s="110"/>
      <c r="R59" s="110"/>
    </row>
    <row r="60" spans="1:19" ht="12" customHeight="1">
      <c r="A60" s="110" t="s">
        <v>74</v>
      </c>
      <c r="B60" s="111" t="s">
        <v>788</v>
      </c>
      <c r="C60" s="119" t="s">
        <v>789</v>
      </c>
      <c r="D60" s="110"/>
      <c r="E60" s="110"/>
      <c r="F60" s="110"/>
      <c r="G60" s="110"/>
      <c r="H60" s="110"/>
      <c r="I60" s="110"/>
      <c r="J60" s="110"/>
      <c r="K60" s="110"/>
      <c r="L60" s="110"/>
      <c r="M60" s="110"/>
      <c r="N60" s="110"/>
      <c r="O60" s="110"/>
      <c r="P60" s="110"/>
      <c r="Q60" s="110"/>
      <c r="R60" s="110"/>
    </row>
    <row r="61" spans="1:19" ht="12" customHeight="1">
      <c r="A61" s="110" t="s">
        <v>13</v>
      </c>
      <c r="B61" s="111" t="s">
        <v>790</v>
      </c>
      <c r="C61" s="110" t="s">
        <v>13</v>
      </c>
      <c r="D61" s="110"/>
      <c r="E61" s="110"/>
      <c r="F61" s="110"/>
      <c r="G61" s="110"/>
      <c r="H61" s="110"/>
      <c r="I61" s="110"/>
      <c r="J61" s="110"/>
      <c r="K61" s="110"/>
      <c r="L61" s="110"/>
      <c r="M61" s="110"/>
      <c r="N61" s="110"/>
      <c r="O61" s="110"/>
      <c r="P61" s="110"/>
      <c r="Q61" s="110"/>
      <c r="R61" s="110"/>
    </row>
    <row r="62" spans="1:19" ht="12" customHeight="1">
      <c r="A62" s="110" t="s">
        <v>75</v>
      </c>
      <c r="B62" s="111" t="s">
        <v>791</v>
      </c>
      <c r="C62" s="119" t="s">
        <v>792</v>
      </c>
      <c r="D62" s="110"/>
      <c r="E62" s="110"/>
      <c r="F62" s="110"/>
      <c r="G62" s="110"/>
      <c r="H62" s="110"/>
      <c r="I62" s="110"/>
      <c r="J62" s="110"/>
      <c r="K62" s="110"/>
      <c r="L62" s="110"/>
      <c r="M62" s="110"/>
      <c r="N62" s="110"/>
      <c r="O62" s="110"/>
      <c r="P62" s="110"/>
      <c r="Q62" s="110"/>
      <c r="R62" s="110"/>
    </row>
    <row r="63" spans="1:19" ht="12" customHeight="1">
      <c r="A63" s="110" t="s">
        <v>76</v>
      </c>
      <c r="B63" s="111" t="s">
        <v>793</v>
      </c>
      <c r="C63" s="110" t="s">
        <v>76</v>
      </c>
      <c r="D63" s="110"/>
      <c r="E63" s="110"/>
      <c r="F63" s="110"/>
      <c r="G63" s="110"/>
      <c r="H63" s="110"/>
      <c r="I63" s="110"/>
      <c r="J63" s="110"/>
      <c r="K63" s="110"/>
      <c r="L63" s="110"/>
      <c r="M63" s="110"/>
      <c r="N63" s="110"/>
      <c r="O63" s="110"/>
      <c r="P63" s="110"/>
      <c r="Q63" s="110"/>
      <c r="R63" s="110"/>
    </row>
    <row r="64" spans="1:19" ht="12" customHeight="1">
      <c r="A64" s="110" t="s">
        <v>77</v>
      </c>
      <c r="B64" s="111" t="s">
        <v>794</v>
      </c>
      <c r="C64" s="110" t="s">
        <v>77</v>
      </c>
      <c r="D64" s="110"/>
      <c r="E64" s="110"/>
      <c r="F64" s="110"/>
      <c r="G64" s="110"/>
      <c r="H64" s="110"/>
      <c r="I64" s="110"/>
      <c r="J64" s="110"/>
      <c r="K64" s="110"/>
      <c r="L64" s="110"/>
      <c r="M64" s="110"/>
      <c r="N64" s="110"/>
      <c r="O64" s="110"/>
      <c r="P64" s="110"/>
      <c r="Q64" s="110"/>
      <c r="R64" s="110"/>
    </row>
    <row r="65" spans="1:18" ht="12" customHeight="1">
      <c r="A65" s="110" t="s">
        <v>78</v>
      </c>
      <c r="B65" s="111" t="s">
        <v>795</v>
      </c>
      <c r="C65" s="110" t="s">
        <v>78</v>
      </c>
      <c r="D65" s="110"/>
      <c r="E65" s="110"/>
      <c r="F65" s="110"/>
      <c r="G65" s="110"/>
      <c r="H65" s="110"/>
      <c r="I65" s="110"/>
      <c r="J65" s="110"/>
      <c r="K65" s="110"/>
      <c r="L65" s="110"/>
      <c r="M65" s="110"/>
      <c r="N65" s="110"/>
      <c r="O65" s="110"/>
      <c r="P65" s="110"/>
      <c r="Q65" s="110"/>
      <c r="R65" s="110"/>
    </row>
    <row r="66" spans="1:18" ht="12" customHeight="1">
      <c r="A66" s="110" t="s">
        <v>79</v>
      </c>
      <c r="B66" s="111" t="s">
        <v>796</v>
      </c>
      <c r="C66" s="110" t="s">
        <v>79</v>
      </c>
      <c r="D66" s="110"/>
      <c r="E66" s="110"/>
      <c r="F66" s="110"/>
      <c r="G66" s="110"/>
      <c r="H66" s="110"/>
      <c r="I66" s="110"/>
      <c r="J66" s="110"/>
      <c r="K66" s="110"/>
      <c r="L66" s="110"/>
      <c r="M66" s="110"/>
      <c r="N66" s="110"/>
      <c r="O66" s="110"/>
      <c r="P66" s="110"/>
      <c r="Q66" s="110"/>
      <c r="R66" s="110"/>
    </row>
    <row r="67" spans="1:18" ht="12" customHeight="1">
      <c r="A67" s="110" t="s">
        <v>80</v>
      </c>
      <c r="B67" s="111" t="s">
        <v>797</v>
      </c>
      <c r="C67" s="110" t="s">
        <v>80</v>
      </c>
      <c r="D67" s="110"/>
      <c r="E67" s="110"/>
      <c r="F67" s="110"/>
      <c r="G67" s="110"/>
      <c r="H67" s="110"/>
      <c r="I67" s="110"/>
      <c r="J67" s="110"/>
      <c r="K67" s="110"/>
      <c r="L67" s="110"/>
      <c r="M67" s="110"/>
      <c r="N67" s="110"/>
      <c r="O67" s="110"/>
      <c r="P67" s="110"/>
      <c r="Q67" s="110"/>
      <c r="R67" s="110"/>
    </row>
    <row r="68" spans="1:18" ht="12" customHeight="1">
      <c r="A68" s="110" t="s">
        <v>81</v>
      </c>
      <c r="B68" s="111" t="s">
        <v>798</v>
      </c>
      <c r="C68" s="110" t="s">
        <v>81</v>
      </c>
      <c r="D68" s="110"/>
      <c r="E68" s="110"/>
      <c r="F68" s="110"/>
      <c r="G68" s="110"/>
      <c r="H68" s="110"/>
      <c r="I68" s="110"/>
      <c r="J68" s="110"/>
      <c r="K68" s="110"/>
      <c r="L68" s="110"/>
      <c r="M68" s="110"/>
      <c r="N68" s="110"/>
      <c r="O68" s="110"/>
      <c r="P68" s="110"/>
      <c r="Q68" s="110"/>
      <c r="R68" s="110"/>
    </row>
    <row r="69" spans="1:18" ht="12" customHeight="1">
      <c r="A69" s="110" t="s">
        <v>82</v>
      </c>
      <c r="B69" s="111" t="s">
        <v>799</v>
      </c>
      <c r="C69" s="110" t="s">
        <v>82</v>
      </c>
      <c r="D69" s="110"/>
      <c r="E69" s="110"/>
      <c r="F69" s="110"/>
      <c r="G69" s="110"/>
      <c r="H69" s="110"/>
      <c r="I69" s="110"/>
      <c r="J69" s="110"/>
      <c r="K69" s="110"/>
      <c r="L69" s="110"/>
      <c r="M69" s="110"/>
      <c r="N69" s="110"/>
      <c r="O69" s="110"/>
      <c r="P69" s="110"/>
      <c r="Q69" s="110"/>
      <c r="R69" s="110"/>
    </row>
    <row r="70" spans="1:18" ht="12" customHeight="1">
      <c r="A70" s="110" t="s">
        <v>83</v>
      </c>
      <c r="B70" s="111" t="s">
        <v>800</v>
      </c>
      <c r="C70" s="110" t="s">
        <v>83</v>
      </c>
      <c r="D70" s="110"/>
      <c r="E70" s="110"/>
      <c r="F70" s="110"/>
      <c r="G70" s="110"/>
      <c r="H70" s="110"/>
      <c r="I70" s="110"/>
      <c r="J70" s="110"/>
      <c r="K70" s="110"/>
      <c r="L70" s="110"/>
      <c r="M70" s="110"/>
      <c r="N70" s="110"/>
      <c r="O70" s="110"/>
      <c r="P70" s="110"/>
      <c r="Q70" s="110"/>
      <c r="R70" s="110"/>
    </row>
    <row r="71" spans="1:18" ht="12" customHeight="1">
      <c r="A71" s="110" t="s">
        <v>87</v>
      </c>
      <c r="B71" s="111" t="s">
        <v>801</v>
      </c>
      <c r="C71" s="110" t="s">
        <v>87</v>
      </c>
      <c r="D71" s="110"/>
      <c r="E71" s="110"/>
      <c r="F71" s="110"/>
      <c r="G71" s="110"/>
      <c r="H71" s="110"/>
      <c r="I71" s="110"/>
      <c r="J71" s="110"/>
      <c r="K71" s="110"/>
      <c r="L71" s="110"/>
      <c r="M71" s="110"/>
      <c r="N71" s="110"/>
      <c r="O71" s="110"/>
      <c r="P71" s="110"/>
      <c r="Q71" s="110"/>
      <c r="R71" s="110"/>
    </row>
    <row r="72" spans="1:18" ht="12" customHeight="1">
      <c r="A72" s="110" t="s">
        <v>88</v>
      </c>
      <c r="B72" s="111" t="s">
        <v>802</v>
      </c>
      <c r="C72" s="110" t="s">
        <v>88</v>
      </c>
      <c r="D72" s="110"/>
      <c r="E72" s="110"/>
      <c r="F72" s="110"/>
      <c r="G72" s="110"/>
      <c r="H72" s="110"/>
      <c r="I72" s="110"/>
      <c r="J72" s="110"/>
      <c r="K72" s="110"/>
      <c r="L72" s="110"/>
      <c r="M72" s="110"/>
      <c r="N72" s="110"/>
      <c r="O72" s="110"/>
      <c r="P72" s="110"/>
      <c r="Q72" s="110"/>
      <c r="R72" s="110"/>
    </row>
    <row r="73" spans="1:18" ht="12" customHeight="1">
      <c r="A73" s="110" t="s">
        <v>89</v>
      </c>
      <c r="B73" s="111" t="s">
        <v>803</v>
      </c>
      <c r="C73" s="110" t="s">
        <v>89</v>
      </c>
      <c r="D73" s="110"/>
      <c r="E73" s="110"/>
      <c r="F73" s="110"/>
      <c r="G73" s="110"/>
      <c r="H73" s="110"/>
      <c r="I73" s="110"/>
      <c r="J73" s="110"/>
      <c r="K73" s="110"/>
      <c r="L73" s="110"/>
      <c r="M73" s="110"/>
      <c r="N73" s="110"/>
      <c r="O73" s="110"/>
      <c r="P73" s="110"/>
      <c r="Q73" s="110"/>
      <c r="R73" s="110"/>
    </row>
    <row r="74" spans="1:18" ht="12" customHeight="1">
      <c r="A74" s="110" t="s">
        <v>90</v>
      </c>
      <c r="B74" s="111" t="s">
        <v>804</v>
      </c>
      <c r="C74" s="110" t="s">
        <v>90</v>
      </c>
      <c r="D74" s="110"/>
      <c r="E74" s="110"/>
      <c r="F74" s="110"/>
      <c r="G74" s="110"/>
      <c r="H74" s="110"/>
      <c r="I74" s="110"/>
      <c r="J74" s="110"/>
      <c r="K74" s="110"/>
      <c r="L74" s="110"/>
      <c r="M74" s="110"/>
      <c r="N74" s="110"/>
      <c r="O74" s="110"/>
      <c r="P74" s="110"/>
      <c r="Q74" s="110"/>
      <c r="R74" s="110"/>
    </row>
    <row r="75" spans="1:18" ht="12" customHeight="1">
      <c r="A75" s="110" t="s">
        <v>91</v>
      </c>
      <c r="B75" s="111" t="s">
        <v>805</v>
      </c>
      <c r="C75" s="110" t="s">
        <v>91</v>
      </c>
      <c r="D75" s="110"/>
      <c r="E75" s="110"/>
      <c r="F75" s="110"/>
      <c r="G75" s="110"/>
      <c r="H75" s="110"/>
      <c r="I75" s="110"/>
      <c r="J75" s="110"/>
      <c r="K75" s="110"/>
      <c r="L75" s="110"/>
      <c r="M75" s="110"/>
      <c r="N75" s="110"/>
      <c r="O75" s="110"/>
      <c r="P75" s="110"/>
      <c r="Q75" s="110"/>
      <c r="R75" s="110"/>
    </row>
    <row r="76" spans="1:18" ht="12" customHeight="1">
      <c r="A76" s="110" t="s">
        <v>92</v>
      </c>
      <c r="B76" s="111" t="s">
        <v>806</v>
      </c>
      <c r="C76" s="110" t="s">
        <v>92</v>
      </c>
      <c r="D76" s="110"/>
      <c r="E76" s="110"/>
      <c r="F76" s="110"/>
      <c r="G76" s="110"/>
      <c r="H76" s="110"/>
      <c r="I76" s="110"/>
      <c r="J76" s="110"/>
      <c r="K76" s="110"/>
      <c r="L76" s="110"/>
      <c r="M76" s="110"/>
      <c r="N76" s="110"/>
      <c r="O76" s="110"/>
      <c r="P76" s="110"/>
      <c r="Q76" s="110"/>
      <c r="R76" s="110"/>
    </row>
    <row r="77" spans="1:18" ht="12" customHeight="1">
      <c r="A77" s="110" t="s">
        <v>93</v>
      </c>
      <c r="B77" s="111" t="s">
        <v>807</v>
      </c>
      <c r="C77" s="119" t="s">
        <v>808</v>
      </c>
      <c r="D77" s="110"/>
      <c r="E77" s="110"/>
      <c r="F77" s="110"/>
      <c r="G77" s="110"/>
      <c r="H77" s="110"/>
      <c r="I77" s="110"/>
      <c r="J77" s="110"/>
      <c r="K77" s="110"/>
      <c r="L77" s="110"/>
      <c r="M77" s="110"/>
      <c r="N77" s="110"/>
      <c r="O77" s="110"/>
      <c r="P77" s="110"/>
      <c r="Q77" s="110"/>
      <c r="R77" s="110"/>
    </row>
    <row r="78" spans="1:18" ht="12" customHeight="1">
      <c r="A78" s="110" t="s">
        <v>19</v>
      </c>
      <c r="B78" s="111" t="s">
        <v>809</v>
      </c>
      <c r="C78" s="110" t="s">
        <v>19</v>
      </c>
      <c r="D78" s="110"/>
      <c r="E78" s="110"/>
      <c r="F78" s="110"/>
      <c r="G78" s="110"/>
      <c r="H78" s="110"/>
      <c r="I78" s="110"/>
      <c r="J78" s="110"/>
      <c r="K78" s="110"/>
      <c r="L78" s="110"/>
      <c r="M78" s="110"/>
      <c r="N78" s="110"/>
      <c r="O78" s="110"/>
      <c r="P78" s="110"/>
      <c r="Q78" s="110"/>
      <c r="R78" s="110"/>
    </row>
    <row r="79" spans="1:18" ht="12" customHeight="1">
      <c r="A79" s="110" t="s">
        <v>94</v>
      </c>
      <c r="B79" s="111" t="s">
        <v>810</v>
      </c>
      <c r="C79" s="110" t="s">
        <v>94</v>
      </c>
      <c r="D79" s="110"/>
      <c r="E79" s="110"/>
      <c r="F79" s="110"/>
      <c r="G79" s="110"/>
      <c r="H79" s="110"/>
      <c r="I79" s="110"/>
      <c r="J79" s="110"/>
      <c r="K79" s="110"/>
      <c r="L79" s="110"/>
      <c r="M79" s="110"/>
      <c r="N79" s="110"/>
      <c r="O79" s="110"/>
      <c r="P79" s="110"/>
      <c r="Q79" s="110"/>
      <c r="R79" s="110"/>
    </row>
    <row r="80" spans="1:18" ht="12" customHeight="1">
      <c r="A80" s="110" t="s">
        <v>95</v>
      </c>
      <c r="B80" s="111" t="s">
        <v>811</v>
      </c>
      <c r="C80" s="110" t="s">
        <v>95</v>
      </c>
      <c r="D80" s="110"/>
      <c r="E80" s="110"/>
      <c r="F80" s="110"/>
      <c r="G80" s="110"/>
      <c r="H80" s="110"/>
      <c r="I80" s="110"/>
      <c r="J80" s="110"/>
      <c r="K80" s="110"/>
      <c r="L80" s="110"/>
      <c r="M80" s="110"/>
      <c r="N80" s="110"/>
      <c r="O80" s="110"/>
      <c r="P80" s="110"/>
      <c r="Q80" s="110"/>
      <c r="R80" s="110"/>
    </row>
    <row r="81" spans="1:18" ht="12" customHeight="1">
      <c r="A81" s="110" t="s">
        <v>96</v>
      </c>
      <c r="B81" s="111" t="s">
        <v>812</v>
      </c>
      <c r="C81" s="110" t="s">
        <v>96</v>
      </c>
      <c r="D81" s="110"/>
      <c r="E81" s="110"/>
      <c r="F81" s="110"/>
      <c r="G81" s="110"/>
      <c r="H81" s="110"/>
      <c r="I81" s="110"/>
      <c r="J81" s="110"/>
      <c r="K81" s="110"/>
      <c r="L81" s="110"/>
      <c r="M81" s="110"/>
      <c r="N81" s="110"/>
      <c r="O81" s="110"/>
      <c r="P81" s="110"/>
      <c r="Q81" s="110"/>
      <c r="R81" s="110"/>
    </row>
    <row r="82" spans="1:18" ht="12" customHeight="1">
      <c r="A82" s="110" t="s">
        <v>97</v>
      </c>
      <c r="B82" s="111" t="s">
        <v>813</v>
      </c>
      <c r="C82" s="119" t="s">
        <v>814</v>
      </c>
      <c r="D82" s="110"/>
      <c r="E82" s="110"/>
      <c r="F82" s="110"/>
      <c r="G82" s="110"/>
      <c r="H82" s="110"/>
      <c r="I82" s="110"/>
      <c r="J82" s="110"/>
      <c r="K82" s="110"/>
      <c r="L82" s="110"/>
      <c r="M82" s="110"/>
      <c r="N82" s="110"/>
      <c r="O82" s="110"/>
      <c r="P82" s="110"/>
      <c r="Q82" s="110"/>
      <c r="R82" s="110"/>
    </row>
    <row r="83" spans="1:18" ht="12" customHeight="1">
      <c r="A83" s="110" t="s">
        <v>98</v>
      </c>
      <c r="B83" s="111" t="s">
        <v>815</v>
      </c>
      <c r="C83" s="119" t="s">
        <v>816</v>
      </c>
      <c r="D83" s="110"/>
      <c r="E83" s="110"/>
      <c r="F83" s="110"/>
      <c r="G83" s="110"/>
      <c r="H83" s="110"/>
      <c r="I83" s="110"/>
      <c r="J83" s="110"/>
      <c r="K83" s="110"/>
      <c r="L83" s="110"/>
      <c r="M83" s="110"/>
      <c r="N83" s="110"/>
      <c r="O83" s="110"/>
      <c r="P83" s="110"/>
      <c r="Q83" s="110"/>
      <c r="R83" s="110"/>
    </row>
    <row r="84" spans="1:18" ht="12" customHeight="1">
      <c r="A84" s="110" t="s">
        <v>99</v>
      </c>
      <c r="B84" s="111" t="s">
        <v>817</v>
      </c>
      <c r="C84" s="110" t="s">
        <v>99</v>
      </c>
      <c r="D84" s="110"/>
      <c r="E84" s="110"/>
      <c r="F84" s="110"/>
      <c r="G84" s="110"/>
      <c r="H84" s="110"/>
      <c r="I84" s="110"/>
      <c r="J84" s="110"/>
      <c r="K84" s="110"/>
      <c r="L84" s="110"/>
      <c r="M84" s="110"/>
      <c r="N84" s="110"/>
      <c r="O84" s="110"/>
      <c r="P84" s="110"/>
      <c r="Q84" s="110"/>
      <c r="R84" s="110"/>
    </row>
    <row r="85" spans="1:18" ht="12" customHeight="1">
      <c r="A85" s="110" t="s">
        <v>100</v>
      </c>
      <c r="B85" s="111" t="s">
        <v>818</v>
      </c>
      <c r="C85" s="110" t="s">
        <v>100</v>
      </c>
      <c r="D85" s="110"/>
      <c r="E85" s="110"/>
      <c r="F85" s="110"/>
      <c r="G85" s="110"/>
      <c r="H85" s="110"/>
      <c r="I85" s="110"/>
      <c r="J85" s="110"/>
      <c r="K85" s="110"/>
      <c r="L85" s="110"/>
      <c r="M85" s="110"/>
      <c r="N85" s="110"/>
      <c r="O85" s="110"/>
      <c r="P85" s="110"/>
      <c r="Q85" s="110"/>
      <c r="R85" s="110"/>
    </row>
    <row r="86" spans="1:18" ht="12" customHeight="1">
      <c r="A86" s="110" t="s">
        <v>101</v>
      </c>
      <c r="B86" s="111" t="s">
        <v>819</v>
      </c>
      <c r="C86" s="110" t="s">
        <v>101</v>
      </c>
      <c r="D86" s="110"/>
      <c r="E86" s="110"/>
      <c r="F86" s="110"/>
      <c r="G86" s="110"/>
      <c r="H86" s="110"/>
      <c r="I86" s="110"/>
      <c r="J86" s="110"/>
      <c r="K86" s="110"/>
      <c r="L86" s="110"/>
      <c r="M86" s="110"/>
      <c r="N86" s="110"/>
      <c r="O86" s="110"/>
      <c r="P86" s="110"/>
      <c r="Q86" s="110"/>
      <c r="R86" s="110"/>
    </row>
    <row r="87" spans="1:18" ht="12" customHeight="1">
      <c r="A87" s="111"/>
      <c r="B87" s="125"/>
      <c r="C87" s="126" t="s">
        <v>24</v>
      </c>
      <c r="D87" s="110"/>
      <c r="E87" s="110"/>
      <c r="F87" s="110"/>
      <c r="G87" s="110"/>
      <c r="H87" s="110"/>
      <c r="I87" s="110"/>
      <c r="J87" s="110"/>
      <c r="K87" s="110"/>
      <c r="L87" s="110"/>
      <c r="M87" s="110"/>
      <c r="N87" s="110"/>
      <c r="O87" s="110"/>
      <c r="P87" s="110"/>
      <c r="Q87" s="110"/>
      <c r="R87" s="110"/>
    </row>
    <row r="88" spans="1:18" ht="12" customHeight="1">
      <c r="A88" s="110"/>
      <c r="B88" s="110"/>
      <c r="C88" s="110"/>
      <c r="D88" s="110"/>
      <c r="E88" s="110"/>
      <c r="F88" s="110"/>
      <c r="G88" s="110"/>
      <c r="H88" s="110"/>
      <c r="I88" s="110"/>
      <c r="J88" s="110"/>
      <c r="K88" s="110"/>
      <c r="L88" s="110"/>
      <c r="M88" s="110"/>
      <c r="N88" s="110"/>
      <c r="O88" s="110"/>
      <c r="P88" s="110"/>
      <c r="Q88" s="110"/>
      <c r="R88" s="110"/>
    </row>
    <row r="89" spans="1:18" ht="12" customHeight="1">
      <c r="A89" s="110"/>
      <c r="B89" s="110"/>
      <c r="C89" s="110"/>
      <c r="D89" s="110"/>
      <c r="E89" s="110"/>
      <c r="F89" s="110"/>
      <c r="G89" s="110"/>
      <c r="H89" s="110"/>
      <c r="I89" s="110"/>
      <c r="J89" s="110"/>
      <c r="K89" s="110"/>
      <c r="L89" s="110"/>
      <c r="M89" s="110"/>
      <c r="N89" s="110"/>
      <c r="O89" s="110"/>
      <c r="P89" s="110"/>
      <c r="Q89" s="110"/>
      <c r="R89" s="110"/>
    </row>
    <row r="90" spans="1:18" ht="12" customHeight="1">
      <c r="A90" s="110" t="s">
        <v>28</v>
      </c>
      <c r="B90" s="111" t="s">
        <v>820</v>
      </c>
      <c r="C90" s="110"/>
      <c r="D90" s="110"/>
      <c r="E90" s="110"/>
      <c r="F90" s="110"/>
      <c r="G90" s="110"/>
      <c r="H90" s="110"/>
      <c r="I90" s="110"/>
      <c r="J90" s="110"/>
      <c r="K90" s="110"/>
      <c r="L90" s="110"/>
      <c r="M90" s="110"/>
      <c r="N90" s="110"/>
      <c r="O90" s="110"/>
      <c r="P90" s="110"/>
      <c r="Q90" s="110"/>
      <c r="R90" s="110"/>
    </row>
    <row r="91" spans="1:18" ht="12" customHeight="1">
      <c r="A91" s="110" t="s">
        <v>29</v>
      </c>
      <c r="B91" s="111" t="s">
        <v>821</v>
      </c>
      <c r="C91" s="110"/>
      <c r="D91" s="110"/>
      <c r="E91" s="110"/>
      <c r="F91" s="110"/>
      <c r="G91" s="110"/>
      <c r="H91" s="110"/>
      <c r="I91" s="110"/>
      <c r="J91" s="110"/>
      <c r="K91" s="110"/>
      <c r="L91" s="110"/>
      <c r="M91" s="110"/>
      <c r="N91" s="110"/>
      <c r="O91" s="110"/>
      <c r="P91" s="110"/>
      <c r="Q91" s="110"/>
      <c r="R91" s="110"/>
    </row>
    <row r="92" spans="1:18" ht="12" customHeight="1">
      <c r="A92" s="110" t="s">
        <v>30</v>
      </c>
      <c r="B92" s="111" t="s">
        <v>822</v>
      </c>
      <c r="C92" s="110"/>
      <c r="D92" s="110"/>
      <c r="E92" s="110"/>
      <c r="F92" s="110"/>
      <c r="G92" s="110"/>
      <c r="H92" s="110"/>
      <c r="I92" s="110"/>
      <c r="J92" s="110"/>
      <c r="K92" s="110"/>
      <c r="L92" s="110"/>
      <c r="M92" s="110"/>
      <c r="N92" s="110"/>
      <c r="O92" s="110"/>
      <c r="P92" s="110"/>
      <c r="Q92" s="110"/>
      <c r="R92" s="110"/>
    </row>
    <row r="93" spans="1:18" ht="12" customHeight="1">
      <c r="A93" s="110" t="s">
        <v>31</v>
      </c>
      <c r="B93" s="111" t="s">
        <v>1330</v>
      </c>
      <c r="C93" s="110"/>
      <c r="D93" s="110"/>
      <c r="E93" s="110"/>
      <c r="F93" s="110"/>
      <c r="G93" s="110"/>
      <c r="H93" s="110"/>
      <c r="I93" s="110"/>
      <c r="J93" s="110"/>
      <c r="K93" s="110"/>
      <c r="L93" s="110"/>
      <c r="M93" s="110"/>
      <c r="N93" s="110"/>
      <c r="O93" s="110"/>
      <c r="P93" s="110"/>
      <c r="Q93" s="110"/>
      <c r="R93" s="110"/>
    </row>
    <row r="94" spans="1:18" ht="12" customHeight="1">
      <c r="A94" s="110" t="s">
        <v>32</v>
      </c>
      <c r="B94" s="111" t="s">
        <v>823</v>
      </c>
      <c r="C94" s="110"/>
      <c r="D94" s="110"/>
      <c r="E94" s="110"/>
      <c r="F94" s="110"/>
      <c r="G94" s="110"/>
      <c r="H94" s="110"/>
      <c r="I94" s="110"/>
      <c r="J94" s="110"/>
      <c r="K94" s="110"/>
      <c r="L94" s="110"/>
      <c r="M94" s="110"/>
      <c r="N94" s="110"/>
      <c r="O94" s="110"/>
      <c r="P94" s="110"/>
      <c r="Q94" s="110"/>
      <c r="R94" s="110"/>
    </row>
    <row r="95" spans="1:18" ht="12" customHeight="1">
      <c r="A95" s="110" t="s">
        <v>33</v>
      </c>
      <c r="B95" s="111" t="s">
        <v>824</v>
      </c>
      <c r="C95" s="110"/>
      <c r="D95" s="110"/>
      <c r="E95" s="110"/>
      <c r="F95" s="110"/>
      <c r="G95" s="110"/>
      <c r="H95" s="110"/>
      <c r="I95" s="110"/>
      <c r="J95" s="110"/>
      <c r="K95" s="110"/>
      <c r="L95" s="110"/>
      <c r="M95" s="110"/>
      <c r="N95" s="110"/>
      <c r="O95" s="110"/>
      <c r="P95" s="110"/>
      <c r="Q95" s="110"/>
      <c r="R95" s="110"/>
    </row>
    <row r="96" spans="1:18" ht="12" customHeight="1">
      <c r="A96" s="110" t="s">
        <v>34</v>
      </c>
      <c r="B96" s="111" t="s">
        <v>825</v>
      </c>
      <c r="C96" s="110"/>
      <c r="D96" s="110"/>
      <c r="E96" s="110"/>
      <c r="F96" s="110"/>
      <c r="G96" s="110"/>
      <c r="H96" s="110"/>
      <c r="I96" s="110"/>
      <c r="J96" s="110"/>
      <c r="K96" s="110"/>
      <c r="L96" s="110"/>
      <c r="M96" s="110"/>
      <c r="N96" s="110"/>
      <c r="O96" s="110"/>
      <c r="P96" s="110"/>
      <c r="Q96" s="110"/>
      <c r="R96" s="110"/>
    </row>
    <row r="97" spans="1:18" ht="12" customHeight="1">
      <c r="A97" s="110" t="s">
        <v>35</v>
      </c>
      <c r="B97" s="111" t="s">
        <v>826</v>
      </c>
      <c r="C97" s="110"/>
      <c r="D97" s="110"/>
      <c r="E97" s="110"/>
      <c r="F97" s="110"/>
      <c r="G97" s="110"/>
      <c r="H97" s="110"/>
      <c r="I97" s="110"/>
      <c r="J97" s="110"/>
      <c r="K97" s="110"/>
      <c r="L97" s="110"/>
      <c r="M97" s="110"/>
      <c r="N97" s="110"/>
      <c r="O97" s="110"/>
      <c r="P97" s="110"/>
      <c r="Q97" s="110"/>
      <c r="R97" s="110"/>
    </row>
    <row r="98" spans="1:18" ht="12" customHeight="1">
      <c r="A98" s="110" t="s">
        <v>36</v>
      </c>
      <c r="B98" s="111" t="s">
        <v>827</v>
      </c>
      <c r="C98" s="110"/>
      <c r="D98" s="110"/>
      <c r="E98" s="110"/>
      <c r="F98" s="110"/>
      <c r="G98" s="110"/>
      <c r="H98" s="110"/>
      <c r="I98" s="110"/>
      <c r="J98" s="110"/>
      <c r="K98" s="110"/>
      <c r="L98" s="110"/>
      <c r="M98" s="110"/>
      <c r="N98" s="110"/>
      <c r="O98" s="110"/>
      <c r="P98" s="110"/>
      <c r="Q98" s="110"/>
      <c r="R98" s="110"/>
    </row>
    <row r="99" spans="1:18" ht="12" customHeight="1">
      <c r="A99" s="110" t="s">
        <v>37</v>
      </c>
      <c r="B99" s="111" t="s">
        <v>1099</v>
      </c>
      <c r="C99" s="110"/>
      <c r="D99" s="110"/>
      <c r="E99" s="110"/>
      <c r="F99" s="110"/>
      <c r="G99" s="110"/>
      <c r="H99" s="110"/>
      <c r="I99" s="110"/>
      <c r="J99" s="110"/>
      <c r="K99" s="110"/>
      <c r="L99" s="110"/>
      <c r="M99" s="110"/>
      <c r="N99" s="110"/>
      <c r="O99" s="110"/>
      <c r="P99" s="110"/>
      <c r="Q99" s="110"/>
      <c r="R99" s="110"/>
    </row>
    <row r="100" spans="1:18" ht="12" customHeight="1">
      <c r="A100" s="303" t="s">
        <v>38</v>
      </c>
      <c r="B100" s="111" t="s">
        <v>828</v>
      </c>
      <c r="C100" s="110"/>
      <c r="D100" s="110"/>
      <c r="E100" s="110"/>
      <c r="F100" s="110"/>
      <c r="G100" s="110"/>
      <c r="H100" s="110"/>
      <c r="I100" s="110"/>
      <c r="J100" s="110"/>
      <c r="K100" s="110"/>
      <c r="L100" s="110"/>
      <c r="M100" s="110"/>
      <c r="N100" s="110"/>
      <c r="O100" s="127"/>
      <c r="P100" s="110"/>
      <c r="Q100" s="110"/>
      <c r="R100" s="110"/>
    </row>
    <row r="101" spans="1:18" ht="12" customHeight="1">
      <c r="A101" s="303" t="s">
        <v>712</v>
      </c>
      <c r="B101" s="111" t="s">
        <v>829</v>
      </c>
      <c r="C101" s="110"/>
      <c r="D101" s="110"/>
      <c r="E101" s="110"/>
      <c r="F101" s="110"/>
      <c r="G101" s="110"/>
      <c r="H101" s="110"/>
      <c r="I101" s="110"/>
      <c r="J101" s="110"/>
      <c r="K101" s="110"/>
      <c r="L101" s="110"/>
      <c r="M101" s="110"/>
      <c r="N101" s="110"/>
      <c r="O101" s="127"/>
      <c r="P101" s="110"/>
      <c r="Q101" s="110"/>
      <c r="R101" s="110"/>
    </row>
    <row r="102" spans="1:18" ht="12" customHeight="1">
      <c r="A102" s="303" t="s">
        <v>715</v>
      </c>
      <c r="B102" s="111" t="s">
        <v>830</v>
      </c>
      <c r="C102" s="110"/>
      <c r="D102" s="110"/>
      <c r="E102" s="110"/>
      <c r="F102" s="110"/>
      <c r="G102" s="110"/>
      <c r="H102" s="110"/>
      <c r="I102" s="110"/>
      <c r="J102" s="110"/>
      <c r="K102" s="110"/>
      <c r="L102" s="110"/>
      <c r="M102" s="110"/>
      <c r="N102" s="110"/>
      <c r="O102" s="127"/>
      <c r="P102" s="110"/>
      <c r="Q102" s="110"/>
      <c r="R102" s="110"/>
    </row>
    <row r="103" spans="1:18" ht="12" customHeight="1">
      <c r="A103" s="303" t="s">
        <v>719</v>
      </c>
      <c r="B103" s="111" t="s">
        <v>1331</v>
      </c>
      <c r="C103" s="110"/>
      <c r="D103" s="110"/>
      <c r="E103" s="110"/>
      <c r="F103" s="110"/>
      <c r="G103" s="110"/>
      <c r="H103" s="110"/>
      <c r="I103" s="110"/>
      <c r="J103" s="110"/>
      <c r="K103" s="110"/>
      <c r="L103" s="110"/>
      <c r="M103" s="110"/>
      <c r="N103" s="110"/>
      <c r="O103" s="127"/>
      <c r="P103" s="110"/>
      <c r="Q103" s="110"/>
      <c r="R103" s="110"/>
    </row>
    <row r="104" spans="1:18" ht="12" customHeight="1">
      <c r="A104" s="110" t="s">
        <v>39</v>
      </c>
      <c r="B104" s="111" t="s">
        <v>831</v>
      </c>
      <c r="C104" s="110"/>
      <c r="D104" s="110"/>
      <c r="E104" s="110"/>
      <c r="F104" s="110"/>
      <c r="G104" s="110"/>
      <c r="H104" s="110"/>
      <c r="I104" s="110"/>
      <c r="J104" s="110"/>
      <c r="K104" s="110"/>
      <c r="L104" s="110"/>
      <c r="M104" s="110"/>
      <c r="N104" s="110"/>
      <c r="O104" s="127"/>
      <c r="P104" s="110"/>
      <c r="Q104" s="110"/>
      <c r="R104" s="110"/>
    </row>
    <row r="105" spans="1:18" ht="12" customHeight="1">
      <c r="A105" s="110" t="s">
        <v>40</v>
      </c>
      <c r="B105" s="111" t="s">
        <v>832</v>
      </c>
      <c r="C105" s="110"/>
      <c r="D105" s="110"/>
      <c r="E105" s="110"/>
      <c r="F105" s="110"/>
      <c r="G105" s="110"/>
      <c r="H105" s="110"/>
      <c r="I105" s="110"/>
      <c r="J105" s="110"/>
      <c r="K105" s="110"/>
      <c r="L105" s="110"/>
      <c r="M105" s="110"/>
      <c r="N105" s="110"/>
      <c r="O105" s="127"/>
      <c r="P105" s="110"/>
      <c r="Q105" s="110"/>
      <c r="R105" s="110"/>
    </row>
    <row r="106" spans="1:18" ht="12" customHeight="1">
      <c r="A106" s="110" t="s">
        <v>41</v>
      </c>
      <c r="B106" s="111" t="s">
        <v>833</v>
      </c>
      <c r="C106" s="110"/>
      <c r="D106" s="110"/>
      <c r="E106" s="110"/>
      <c r="F106" s="110"/>
      <c r="G106" s="110"/>
      <c r="H106" s="110"/>
      <c r="I106" s="110"/>
      <c r="J106" s="110"/>
      <c r="K106" s="110"/>
      <c r="L106" s="110"/>
      <c r="M106" s="110"/>
      <c r="N106" s="110"/>
      <c r="O106" s="127"/>
      <c r="P106" s="110"/>
      <c r="Q106" s="110"/>
      <c r="R106" s="110"/>
    </row>
    <row r="107" spans="1:18" ht="12" customHeight="1">
      <c r="A107" s="110" t="s">
        <v>42</v>
      </c>
      <c r="B107" s="111" t="s">
        <v>834</v>
      </c>
      <c r="C107" s="110"/>
      <c r="D107" s="110"/>
      <c r="E107" s="110"/>
      <c r="F107" s="110"/>
      <c r="G107" s="110"/>
      <c r="H107" s="110"/>
      <c r="I107" s="110"/>
      <c r="J107" s="110"/>
      <c r="K107" s="110"/>
      <c r="L107" s="110"/>
      <c r="M107" s="110"/>
      <c r="N107" s="110"/>
      <c r="O107" s="127"/>
      <c r="P107" s="110"/>
      <c r="Q107" s="110"/>
      <c r="R107" s="110"/>
    </row>
    <row r="108" spans="1:18" ht="12" customHeight="1">
      <c r="A108" s="110" t="s">
        <v>43</v>
      </c>
      <c r="B108" s="111" t="s">
        <v>835</v>
      </c>
      <c r="C108" s="110"/>
      <c r="D108" s="110"/>
      <c r="E108" s="110"/>
      <c r="F108" s="110"/>
      <c r="G108" s="110"/>
      <c r="H108" s="110"/>
      <c r="I108" s="110"/>
      <c r="J108" s="110"/>
      <c r="K108" s="110"/>
      <c r="L108" s="110"/>
      <c r="M108" s="127"/>
      <c r="N108" s="110"/>
      <c r="O108" s="127"/>
      <c r="P108" s="110"/>
      <c r="Q108" s="110"/>
      <c r="R108" s="110"/>
    </row>
    <row r="109" spans="1:18" ht="12" customHeight="1">
      <c r="A109" s="110" t="s">
        <v>44</v>
      </c>
      <c r="B109" s="111" t="s">
        <v>836</v>
      </c>
      <c r="C109" s="110"/>
      <c r="D109" s="110"/>
      <c r="E109" s="110"/>
      <c r="F109" s="110"/>
      <c r="G109" s="110"/>
      <c r="H109" s="110"/>
      <c r="I109" s="110"/>
      <c r="J109" s="110"/>
      <c r="K109" s="110"/>
      <c r="L109" s="110"/>
      <c r="M109" s="127"/>
      <c r="N109" s="110"/>
      <c r="O109" s="127"/>
      <c r="P109" s="110"/>
      <c r="Q109" s="110"/>
      <c r="R109" s="110"/>
    </row>
    <row r="110" spans="1:18" ht="12" customHeight="1">
      <c r="A110" s="110" t="s">
        <v>45</v>
      </c>
      <c r="B110" s="111" t="s">
        <v>837</v>
      </c>
      <c r="C110" s="110"/>
      <c r="D110" s="110"/>
      <c r="E110" s="110"/>
      <c r="F110" s="110"/>
      <c r="G110" s="110"/>
      <c r="H110" s="110"/>
      <c r="I110" s="110"/>
      <c r="J110" s="110"/>
      <c r="K110" s="110"/>
      <c r="L110" s="110"/>
      <c r="M110" s="127"/>
      <c r="N110" s="110"/>
      <c r="O110" s="127"/>
      <c r="P110" s="110"/>
      <c r="Q110" s="110"/>
      <c r="R110" s="110"/>
    </row>
    <row r="111" spans="1:18" ht="12" customHeight="1">
      <c r="A111" s="110" t="s">
        <v>46</v>
      </c>
      <c r="B111" s="111" t="s">
        <v>838</v>
      </c>
      <c r="C111" s="110"/>
      <c r="D111" s="110"/>
      <c r="E111" s="110"/>
      <c r="F111" s="110"/>
      <c r="G111" s="110"/>
      <c r="H111" s="110"/>
      <c r="I111" s="110"/>
      <c r="J111" s="110"/>
      <c r="K111" s="110"/>
      <c r="L111" s="110"/>
      <c r="M111" s="127"/>
      <c r="N111" s="110"/>
      <c r="O111" s="127"/>
      <c r="P111" s="110"/>
      <c r="Q111" s="110"/>
      <c r="R111" s="110"/>
    </row>
    <row r="112" spans="1:18" ht="12" customHeight="1">
      <c r="A112" s="110" t="s">
        <v>47</v>
      </c>
      <c r="B112" s="111" t="s">
        <v>839</v>
      </c>
      <c r="C112" s="110"/>
      <c r="D112" s="110"/>
      <c r="E112" s="110"/>
      <c r="F112" s="110"/>
      <c r="G112" s="110"/>
      <c r="H112" s="110"/>
      <c r="I112" s="110"/>
      <c r="J112" s="110"/>
      <c r="K112" s="110"/>
      <c r="L112" s="110"/>
      <c r="M112" s="127"/>
      <c r="N112" s="110"/>
      <c r="O112" s="127"/>
      <c r="P112" s="110"/>
      <c r="Q112" s="110"/>
      <c r="R112" s="110"/>
    </row>
    <row r="113" spans="1:18" ht="12" customHeight="1">
      <c r="A113" s="110" t="s">
        <v>48</v>
      </c>
      <c r="B113" s="111" t="s">
        <v>840</v>
      </c>
      <c r="C113" s="110"/>
      <c r="D113" s="110"/>
      <c r="E113" s="110"/>
      <c r="F113" s="110"/>
      <c r="G113" s="110"/>
      <c r="H113" s="110"/>
      <c r="I113" s="110"/>
      <c r="J113" s="110"/>
      <c r="K113" s="110"/>
      <c r="L113" s="110"/>
      <c r="M113" s="127"/>
      <c r="N113" s="110"/>
      <c r="O113" s="127"/>
      <c r="P113" s="110"/>
      <c r="Q113" s="110"/>
      <c r="R113" s="110"/>
    </row>
    <row r="114" spans="1:18" ht="12" customHeight="1">
      <c r="A114" s="110" t="s">
        <v>49</v>
      </c>
      <c r="B114" s="111" t="s">
        <v>841</v>
      </c>
      <c r="C114" s="110"/>
      <c r="D114" s="110"/>
      <c r="E114" s="110"/>
      <c r="F114" s="110"/>
      <c r="G114" s="110"/>
      <c r="H114" s="110"/>
      <c r="I114" s="110"/>
      <c r="J114" s="110"/>
      <c r="K114" s="110"/>
      <c r="L114" s="110"/>
      <c r="M114" s="127"/>
      <c r="N114" s="110"/>
      <c r="O114" s="127"/>
      <c r="P114" s="110"/>
      <c r="Q114" s="110"/>
      <c r="R114" s="110"/>
    </row>
    <row r="115" spans="1:18" ht="12" customHeight="1">
      <c r="A115" s="110" t="s">
        <v>50</v>
      </c>
      <c r="B115" s="111" t="s">
        <v>842</v>
      </c>
      <c r="C115" s="110"/>
      <c r="D115" s="110"/>
      <c r="E115" s="110"/>
      <c r="F115" s="110"/>
      <c r="G115" s="110"/>
      <c r="H115" s="110"/>
      <c r="I115" s="110"/>
      <c r="J115" s="110"/>
      <c r="K115" s="110"/>
      <c r="L115" s="110"/>
      <c r="M115" s="127"/>
      <c r="N115" s="110"/>
      <c r="O115" s="127"/>
      <c r="P115" s="110"/>
      <c r="Q115" s="110"/>
      <c r="R115" s="110"/>
    </row>
    <row r="116" spans="1:18" ht="12" customHeight="1">
      <c r="A116" s="110" t="s">
        <v>51</v>
      </c>
      <c r="B116" s="111" t="s">
        <v>1332</v>
      </c>
      <c r="C116" s="110"/>
      <c r="D116" s="110"/>
      <c r="E116" s="110"/>
      <c r="F116" s="110"/>
      <c r="G116" s="110"/>
      <c r="H116" s="110"/>
      <c r="I116" s="110"/>
      <c r="J116" s="110"/>
      <c r="K116" s="110"/>
      <c r="L116" s="110"/>
      <c r="M116" s="127"/>
      <c r="N116" s="110"/>
      <c r="O116" s="127"/>
      <c r="P116" s="110"/>
      <c r="Q116" s="110"/>
      <c r="R116" s="110"/>
    </row>
    <row r="117" spans="1:18" ht="12" customHeight="1">
      <c r="A117" s="110" t="s">
        <v>52</v>
      </c>
      <c r="B117" s="111" t="s">
        <v>843</v>
      </c>
      <c r="C117" s="110"/>
      <c r="D117" s="110"/>
      <c r="E117" s="110"/>
      <c r="F117" s="110"/>
      <c r="G117" s="110"/>
      <c r="H117" s="110"/>
      <c r="I117" s="110"/>
      <c r="J117" s="110"/>
      <c r="K117" s="110"/>
      <c r="L117" s="110"/>
      <c r="M117" s="127"/>
      <c r="N117" s="110"/>
      <c r="O117" s="127"/>
      <c r="P117" s="110"/>
      <c r="Q117" s="110"/>
      <c r="R117" s="110"/>
    </row>
    <row r="118" spans="1:18" ht="12" customHeight="1">
      <c r="A118" s="110" t="s">
        <v>53</v>
      </c>
      <c r="B118" s="111" t="s">
        <v>844</v>
      </c>
      <c r="C118" s="110"/>
      <c r="D118" s="110"/>
      <c r="E118" s="110"/>
      <c r="F118" s="110"/>
      <c r="G118" s="110"/>
      <c r="H118" s="110"/>
      <c r="I118" s="110"/>
      <c r="J118" s="110"/>
      <c r="K118" s="110"/>
      <c r="L118" s="110"/>
      <c r="M118" s="127"/>
      <c r="N118" s="110"/>
      <c r="O118" s="127"/>
      <c r="P118" s="110"/>
      <c r="Q118" s="110"/>
      <c r="R118" s="110"/>
    </row>
    <row r="119" spans="1:18" ht="12" customHeight="1">
      <c r="A119" s="110" t="s">
        <v>54</v>
      </c>
      <c r="B119" s="111" t="s">
        <v>845</v>
      </c>
      <c r="C119" s="110"/>
      <c r="D119" s="110"/>
      <c r="E119" s="110"/>
      <c r="F119" s="110"/>
      <c r="G119" s="110"/>
      <c r="H119" s="110"/>
      <c r="I119" s="110"/>
      <c r="J119" s="110"/>
      <c r="K119" s="110"/>
      <c r="L119" s="110"/>
      <c r="M119" s="127"/>
      <c r="N119" s="110"/>
      <c r="O119" s="127"/>
      <c r="P119" s="110"/>
      <c r="Q119" s="110"/>
      <c r="R119" s="110"/>
    </row>
    <row r="120" spans="1:18" ht="12" customHeight="1">
      <c r="A120" s="110" t="s">
        <v>55</v>
      </c>
      <c r="B120" s="111" t="s">
        <v>846</v>
      </c>
      <c r="C120" s="110"/>
      <c r="D120" s="110"/>
      <c r="E120" s="110"/>
      <c r="F120" s="110"/>
      <c r="G120" s="110"/>
      <c r="H120" s="110"/>
      <c r="I120" s="110"/>
      <c r="J120" s="110"/>
      <c r="K120" s="110"/>
      <c r="L120" s="110"/>
      <c r="M120" s="127"/>
      <c r="N120" s="110"/>
      <c r="O120" s="127"/>
      <c r="P120" s="110"/>
      <c r="Q120" s="110"/>
      <c r="R120" s="110"/>
    </row>
    <row r="121" spans="1:18" ht="12" customHeight="1">
      <c r="A121" s="110" t="s">
        <v>56</v>
      </c>
      <c r="B121" s="111" t="s">
        <v>847</v>
      </c>
      <c r="C121" s="110"/>
      <c r="D121" s="110"/>
      <c r="E121" s="110"/>
      <c r="F121" s="110"/>
      <c r="G121" s="110"/>
      <c r="H121" s="110"/>
      <c r="I121" s="110"/>
      <c r="J121" s="110"/>
      <c r="K121" s="110"/>
      <c r="L121" s="110"/>
      <c r="M121" s="127"/>
      <c r="N121" s="110"/>
      <c r="O121" s="127"/>
      <c r="P121" s="110"/>
      <c r="Q121" s="110"/>
      <c r="R121" s="110"/>
    </row>
    <row r="122" spans="1:18" ht="12" customHeight="1">
      <c r="A122" s="110" t="s">
        <v>57</v>
      </c>
      <c r="B122" s="111" t="s">
        <v>848</v>
      </c>
      <c r="C122" s="110"/>
      <c r="D122" s="110"/>
      <c r="E122" s="110"/>
      <c r="F122" s="110"/>
      <c r="G122" s="110"/>
      <c r="H122" s="110"/>
      <c r="I122" s="110"/>
      <c r="J122" s="110"/>
      <c r="K122" s="110"/>
      <c r="L122" s="110"/>
      <c r="M122" s="127"/>
      <c r="N122" s="110"/>
      <c r="O122" s="127"/>
      <c r="P122" s="110"/>
      <c r="Q122" s="110"/>
      <c r="R122" s="110"/>
    </row>
    <row r="123" spans="1:18" ht="12" customHeight="1">
      <c r="A123" s="110" t="s">
        <v>58</v>
      </c>
      <c r="B123" s="111" t="s">
        <v>849</v>
      </c>
      <c r="C123" s="110"/>
      <c r="D123" s="110"/>
      <c r="E123" s="110"/>
      <c r="F123" s="110"/>
      <c r="G123" s="110"/>
      <c r="H123" s="110"/>
      <c r="I123" s="110"/>
      <c r="J123" s="110"/>
      <c r="K123" s="110"/>
      <c r="L123" s="110"/>
      <c r="M123" s="127"/>
      <c r="N123" s="110"/>
      <c r="O123" s="127"/>
      <c r="P123" s="110"/>
      <c r="Q123" s="110"/>
      <c r="R123" s="110"/>
    </row>
    <row r="124" spans="1:18" ht="12" customHeight="1">
      <c r="A124" s="110" t="s">
        <v>22</v>
      </c>
      <c r="B124" s="111" t="s">
        <v>850</v>
      </c>
      <c r="C124" s="110"/>
      <c r="D124" s="110"/>
      <c r="E124" s="110"/>
      <c r="F124" s="110"/>
      <c r="G124" s="110"/>
      <c r="H124" s="110"/>
      <c r="I124" s="110"/>
      <c r="J124" s="110"/>
      <c r="K124" s="110"/>
      <c r="L124" s="110"/>
      <c r="M124" s="127"/>
      <c r="N124" s="110"/>
      <c r="O124" s="127"/>
      <c r="P124" s="110"/>
      <c r="Q124" s="110"/>
      <c r="R124" s="110"/>
    </row>
    <row r="125" spans="1:18" ht="12" customHeight="1">
      <c r="A125" s="110" t="s">
        <v>23</v>
      </c>
      <c r="B125" s="111" t="s">
        <v>851</v>
      </c>
      <c r="C125" s="110"/>
      <c r="D125" s="110"/>
      <c r="E125" s="110"/>
      <c r="F125" s="110"/>
      <c r="G125" s="110"/>
      <c r="H125" s="110"/>
      <c r="I125" s="110"/>
      <c r="J125" s="110"/>
      <c r="K125" s="110"/>
      <c r="L125" s="110"/>
      <c r="M125" s="127"/>
      <c r="N125" s="110"/>
      <c r="O125" s="127"/>
      <c r="P125" s="110"/>
      <c r="Q125" s="110"/>
      <c r="R125" s="110"/>
    </row>
    <row r="126" spans="1:18" ht="12" customHeight="1">
      <c r="A126" s="110" t="s">
        <v>24</v>
      </c>
      <c r="B126" s="111" t="s">
        <v>852</v>
      </c>
      <c r="C126" s="110"/>
      <c r="D126" s="110"/>
      <c r="E126" s="110"/>
      <c r="F126" s="110"/>
      <c r="G126" s="110"/>
      <c r="H126" s="110"/>
      <c r="I126" s="110"/>
      <c r="J126" s="110"/>
      <c r="K126" s="110"/>
      <c r="L126" s="110"/>
      <c r="M126" s="127"/>
      <c r="N126" s="110"/>
      <c r="O126" s="127"/>
      <c r="P126" s="110"/>
      <c r="Q126" s="110"/>
      <c r="R126" s="110"/>
    </row>
    <row r="127" spans="1:18" ht="12" customHeight="1">
      <c r="A127" s="110" t="s">
        <v>25</v>
      </c>
      <c r="B127" s="111" t="s">
        <v>853</v>
      </c>
      <c r="C127" s="110"/>
      <c r="D127" s="110"/>
      <c r="E127" s="110"/>
      <c r="F127" s="110"/>
      <c r="G127" s="110"/>
      <c r="H127" s="110"/>
      <c r="I127" s="110"/>
      <c r="J127" s="110"/>
      <c r="K127" s="110"/>
      <c r="L127" s="110"/>
      <c r="M127" s="127"/>
      <c r="N127" s="110"/>
      <c r="O127" s="127"/>
      <c r="P127" s="110"/>
      <c r="Q127" s="110"/>
      <c r="R127" s="110"/>
    </row>
    <row r="128" spans="1:18" ht="12" customHeight="1">
      <c r="A128" s="110" t="s">
        <v>26</v>
      </c>
      <c r="B128" s="111" t="s">
        <v>854</v>
      </c>
      <c r="C128" s="110"/>
      <c r="D128" s="110"/>
      <c r="E128" s="110"/>
      <c r="F128" s="110"/>
      <c r="G128" s="110"/>
      <c r="H128" s="110"/>
      <c r="I128" s="110"/>
      <c r="J128" s="110"/>
      <c r="K128" s="110"/>
      <c r="L128" s="110"/>
      <c r="M128" s="127"/>
      <c r="N128" s="110"/>
      <c r="O128" s="127"/>
      <c r="P128" s="110"/>
      <c r="Q128" s="110"/>
      <c r="R128" s="110"/>
    </row>
    <row r="129" spans="1:18" ht="12" customHeight="1">
      <c r="A129" s="110" t="s">
        <v>27</v>
      </c>
      <c r="B129" s="111" t="s">
        <v>855</v>
      </c>
      <c r="C129" s="110"/>
      <c r="D129" s="110"/>
      <c r="E129" s="110"/>
      <c r="F129" s="110"/>
      <c r="G129" s="110"/>
      <c r="H129" s="110"/>
      <c r="I129" s="110"/>
      <c r="J129" s="110"/>
      <c r="K129" s="110"/>
      <c r="L129" s="110"/>
      <c r="M129" s="127"/>
      <c r="N129" s="110"/>
      <c r="O129" s="127"/>
      <c r="P129" s="110"/>
      <c r="Q129" s="110"/>
      <c r="R129" s="110"/>
    </row>
    <row r="130" spans="1:18" ht="12" customHeight="1">
      <c r="A130" s="110" t="s">
        <v>59</v>
      </c>
      <c r="B130" s="111" t="s">
        <v>856</v>
      </c>
      <c r="C130" s="110"/>
      <c r="D130" s="110"/>
      <c r="E130" s="110"/>
      <c r="F130" s="110"/>
      <c r="G130" s="110"/>
      <c r="H130" s="110"/>
      <c r="I130" s="110"/>
      <c r="J130" s="110"/>
      <c r="K130" s="110"/>
      <c r="L130" s="127"/>
      <c r="M130" s="127"/>
      <c r="N130" s="110"/>
      <c r="O130" s="110"/>
      <c r="P130" s="110"/>
      <c r="Q130" s="110"/>
      <c r="R130" s="110"/>
    </row>
    <row r="131" spans="1:18" ht="12" customHeight="1">
      <c r="A131" s="110" t="s">
        <v>60</v>
      </c>
      <c r="B131" s="111" t="s">
        <v>857</v>
      </c>
      <c r="C131" s="110"/>
      <c r="D131" s="110"/>
      <c r="E131" s="110"/>
      <c r="F131" s="110"/>
      <c r="G131" s="110"/>
      <c r="H131" s="110"/>
      <c r="I131" s="110"/>
      <c r="J131" s="110"/>
      <c r="K131" s="110"/>
      <c r="L131" s="127"/>
      <c r="M131" s="127"/>
      <c r="N131" s="110"/>
      <c r="O131" s="110"/>
      <c r="P131" s="110"/>
      <c r="Q131" s="110"/>
      <c r="R131" s="110"/>
    </row>
    <row r="132" spans="1:18" ht="12" customHeight="1">
      <c r="A132" s="110" t="s">
        <v>61</v>
      </c>
      <c r="B132" s="111" t="s">
        <v>1333</v>
      </c>
      <c r="C132" s="110"/>
      <c r="D132" s="110"/>
      <c r="E132" s="110"/>
      <c r="F132" s="110"/>
      <c r="G132" s="110"/>
      <c r="H132" s="110"/>
      <c r="I132" s="110"/>
      <c r="J132" s="110"/>
      <c r="K132" s="110"/>
      <c r="L132" s="127"/>
      <c r="M132" s="127"/>
      <c r="N132" s="110"/>
      <c r="O132" s="110"/>
      <c r="P132" s="110"/>
      <c r="Q132" s="110"/>
      <c r="R132" s="110"/>
    </row>
    <row r="133" spans="1:18" ht="12" customHeight="1">
      <c r="A133" s="110" t="s">
        <v>62</v>
      </c>
      <c r="B133" s="111" t="s">
        <v>858</v>
      </c>
      <c r="C133" s="110"/>
      <c r="D133" s="110"/>
      <c r="E133" s="110"/>
      <c r="F133" s="110"/>
      <c r="G133" s="110"/>
      <c r="H133" s="110"/>
      <c r="I133" s="110"/>
      <c r="J133" s="110"/>
      <c r="K133" s="110"/>
      <c r="L133" s="127"/>
      <c r="M133" s="127"/>
      <c r="N133" s="110"/>
      <c r="O133" s="110"/>
      <c r="P133" s="110"/>
      <c r="Q133" s="110"/>
      <c r="R133" s="110"/>
    </row>
    <row r="134" spans="1:18" ht="12" customHeight="1">
      <c r="A134" s="110" t="s">
        <v>63</v>
      </c>
      <c r="B134" s="111" t="s">
        <v>859</v>
      </c>
      <c r="C134" s="110"/>
      <c r="D134" s="110"/>
      <c r="E134" s="110"/>
      <c r="F134" s="110"/>
      <c r="G134" s="110"/>
      <c r="H134" s="110"/>
      <c r="I134" s="110"/>
      <c r="J134" s="110"/>
      <c r="K134" s="110"/>
      <c r="L134" s="127"/>
      <c r="M134" s="127"/>
      <c r="N134" s="110"/>
      <c r="O134" s="110"/>
      <c r="P134" s="110"/>
      <c r="Q134" s="110"/>
      <c r="R134" s="110"/>
    </row>
    <row r="135" spans="1:18" ht="12" customHeight="1">
      <c r="A135" s="110" t="s">
        <v>84</v>
      </c>
      <c r="B135" s="111" t="s">
        <v>860</v>
      </c>
      <c r="C135" s="110"/>
      <c r="D135" s="110"/>
      <c r="E135" s="110"/>
      <c r="F135" s="110"/>
      <c r="G135" s="110"/>
      <c r="H135" s="110"/>
      <c r="I135" s="110"/>
      <c r="J135" s="110"/>
      <c r="K135" s="127"/>
      <c r="L135" s="127"/>
      <c r="M135" s="127"/>
      <c r="N135" s="110"/>
      <c r="O135" s="110"/>
      <c r="P135" s="110"/>
      <c r="Q135" s="110"/>
      <c r="R135" s="110"/>
    </row>
    <row r="136" spans="1:18" ht="12" customHeight="1">
      <c r="A136" s="110" t="s">
        <v>85</v>
      </c>
      <c r="B136" s="111" t="s">
        <v>861</v>
      </c>
      <c r="C136" s="110"/>
      <c r="D136" s="110"/>
      <c r="E136" s="110"/>
      <c r="F136" s="110"/>
      <c r="G136" s="110"/>
      <c r="H136" s="110"/>
      <c r="I136" s="110"/>
      <c r="J136" s="110"/>
      <c r="K136" s="127"/>
      <c r="L136" s="127"/>
      <c r="M136" s="127"/>
      <c r="N136" s="110"/>
      <c r="O136" s="110"/>
      <c r="P136" s="110"/>
      <c r="Q136" s="110"/>
      <c r="R136" s="110"/>
    </row>
    <row r="137" spans="1:18" ht="12" customHeight="1">
      <c r="A137" s="110" t="s">
        <v>86</v>
      </c>
      <c r="B137" s="111" t="s">
        <v>862</v>
      </c>
      <c r="C137" s="110"/>
      <c r="D137" s="110"/>
      <c r="E137" s="110"/>
      <c r="F137" s="110"/>
      <c r="G137" s="110"/>
      <c r="H137" s="110"/>
      <c r="I137" s="110"/>
      <c r="J137" s="110"/>
      <c r="K137" s="127"/>
      <c r="L137" s="127"/>
      <c r="M137" s="127"/>
      <c r="N137" s="110"/>
      <c r="O137" s="110"/>
      <c r="P137" s="110"/>
      <c r="Q137" s="110"/>
      <c r="R137" s="110"/>
    </row>
    <row r="138" spans="1:18" ht="12" customHeight="1">
      <c r="A138" s="110" t="s">
        <v>64</v>
      </c>
      <c r="B138" s="111" t="s">
        <v>863</v>
      </c>
      <c r="C138" s="110"/>
      <c r="D138" s="110"/>
      <c r="E138" s="110"/>
      <c r="F138" s="110"/>
      <c r="G138" s="110"/>
      <c r="H138" s="110"/>
      <c r="I138" s="110"/>
      <c r="J138" s="110"/>
      <c r="K138" s="127"/>
      <c r="L138" s="127"/>
      <c r="M138" s="127"/>
      <c r="N138" s="110"/>
      <c r="O138" s="110"/>
      <c r="P138" s="110"/>
      <c r="Q138" s="110"/>
      <c r="R138" s="110"/>
    </row>
    <row r="139" spans="1:18" ht="12" customHeight="1">
      <c r="A139" s="110" t="s">
        <v>65</v>
      </c>
      <c r="B139" s="111" t="s">
        <v>864</v>
      </c>
      <c r="C139" s="110"/>
      <c r="D139" s="110"/>
      <c r="E139" s="110"/>
      <c r="F139" s="110"/>
      <c r="G139" s="110"/>
      <c r="H139" s="110"/>
      <c r="I139" s="110"/>
      <c r="J139" s="110"/>
      <c r="K139" s="127"/>
      <c r="L139" s="127"/>
      <c r="M139" s="127"/>
      <c r="N139" s="110"/>
      <c r="O139" s="110"/>
      <c r="P139" s="110"/>
      <c r="Q139" s="110"/>
      <c r="R139" s="110"/>
    </row>
    <row r="140" spans="1:18" ht="12" customHeight="1">
      <c r="A140" s="110" t="s">
        <v>66</v>
      </c>
      <c r="B140" s="111" t="s">
        <v>865</v>
      </c>
      <c r="C140" s="110"/>
      <c r="D140" s="110"/>
      <c r="E140" s="110"/>
      <c r="F140" s="110"/>
      <c r="G140" s="110"/>
      <c r="H140" s="110"/>
      <c r="I140" s="110"/>
      <c r="J140" s="110"/>
      <c r="K140" s="127"/>
      <c r="L140" s="127"/>
      <c r="M140" s="127"/>
      <c r="N140" s="110"/>
      <c r="O140" s="110"/>
      <c r="P140" s="110"/>
      <c r="Q140" s="110"/>
      <c r="R140" s="110"/>
    </row>
    <row r="141" spans="1:18" ht="12" customHeight="1">
      <c r="A141" s="110" t="s">
        <v>67</v>
      </c>
      <c r="B141" s="111" t="s">
        <v>1334</v>
      </c>
      <c r="C141" s="110"/>
      <c r="D141" s="110"/>
      <c r="E141" s="110"/>
      <c r="F141" s="110"/>
      <c r="G141" s="110"/>
      <c r="H141" s="110"/>
      <c r="I141" s="110"/>
      <c r="J141" s="110"/>
      <c r="K141" s="127"/>
      <c r="L141" s="127"/>
      <c r="M141" s="127"/>
      <c r="N141" s="110"/>
      <c r="O141" s="110"/>
      <c r="P141" s="110"/>
      <c r="Q141" s="110"/>
      <c r="R141" s="110"/>
    </row>
    <row r="142" spans="1:18" ht="12" customHeight="1">
      <c r="A142" s="110" t="s">
        <v>68</v>
      </c>
      <c r="B142" s="111" t="s">
        <v>866</v>
      </c>
      <c r="C142" s="110"/>
      <c r="D142" s="110"/>
      <c r="E142" s="110"/>
      <c r="F142" s="110"/>
      <c r="G142" s="110"/>
      <c r="H142" s="110"/>
      <c r="I142" s="110"/>
      <c r="J142" s="110"/>
      <c r="K142" s="127"/>
      <c r="L142" s="127"/>
      <c r="M142" s="127"/>
      <c r="N142" s="110"/>
      <c r="O142" s="110"/>
      <c r="P142" s="110"/>
      <c r="Q142" s="110"/>
      <c r="R142" s="110"/>
    </row>
    <row r="143" spans="1:18" ht="12" customHeight="1">
      <c r="A143" s="110" t="s">
        <v>69</v>
      </c>
      <c r="B143" s="111" t="s">
        <v>867</v>
      </c>
      <c r="C143" s="110"/>
      <c r="D143" s="110"/>
      <c r="E143" s="110"/>
      <c r="F143" s="110"/>
      <c r="G143" s="110"/>
      <c r="H143" s="110"/>
      <c r="I143" s="110"/>
      <c r="J143" s="110"/>
      <c r="K143" s="127"/>
      <c r="L143" s="127"/>
      <c r="M143" s="127"/>
      <c r="N143" s="110"/>
      <c r="O143" s="110"/>
      <c r="P143" s="110"/>
      <c r="Q143" s="110"/>
      <c r="R143" s="110"/>
    </row>
    <row r="144" spans="1:18" ht="12" customHeight="1">
      <c r="A144" s="110" t="s">
        <v>70</v>
      </c>
      <c r="B144" s="111" t="s">
        <v>1397</v>
      </c>
      <c r="C144" s="110"/>
      <c r="D144" s="110"/>
      <c r="E144" s="110"/>
      <c r="F144" s="110"/>
      <c r="G144" s="110"/>
      <c r="H144" s="110"/>
      <c r="I144" s="110"/>
      <c r="J144" s="110"/>
      <c r="K144" s="127"/>
      <c r="L144" s="127"/>
      <c r="M144" s="127"/>
      <c r="N144" s="110"/>
      <c r="O144" s="110"/>
      <c r="P144" s="110"/>
      <c r="Q144" s="110"/>
      <c r="R144" s="110"/>
    </row>
    <row r="145" spans="1:18" ht="12" customHeight="1">
      <c r="A145" s="110" t="s">
        <v>159</v>
      </c>
      <c r="B145" s="111" t="s">
        <v>868</v>
      </c>
      <c r="C145" s="110"/>
      <c r="D145" s="110"/>
      <c r="E145" s="110"/>
      <c r="F145" s="110"/>
      <c r="G145" s="110"/>
      <c r="H145" s="110"/>
      <c r="I145" s="110"/>
      <c r="J145" s="110"/>
      <c r="K145" s="127"/>
      <c r="L145" s="127"/>
      <c r="M145" s="127"/>
      <c r="N145" s="110"/>
      <c r="O145" s="110"/>
      <c r="P145" s="110"/>
      <c r="R145" s="110"/>
    </row>
    <row r="146" spans="1:18" ht="12" customHeight="1">
      <c r="A146" s="110" t="s">
        <v>71</v>
      </c>
      <c r="B146" s="111" t="s">
        <v>869</v>
      </c>
      <c r="C146" s="110"/>
      <c r="D146" s="110"/>
      <c r="E146" s="110"/>
      <c r="F146" s="110"/>
      <c r="G146" s="110"/>
      <c r="H146" s="110"/>
      <c r="I146" s="110"/>
      <c r="J146" s="110"/>
      <c r="K146" s="127"/>
      <c r="L146" s="127"/>
      <c r="M146" s="127"/>
      <c r="N146" s="110"/>
      <c r="O146" s="110"/>
      <c r="P146" s="110"/>
      <c r="R146" s="110"/>
    </row>
    <row r="147" spans="1:18" ht="12" customHeight="1">
      <c r="A147" s="110" t="s">
        <v>72</v>
      </c>
      <c r="B147" s="111" t="s">
        <v>870</v>
      </c>
      <c r="C147" s="110"/>
      <c r="D147" s="110"/>
      <c r="E147" s="110"/>
      <c r="F147" s="110"/>
      <c r="G147" s="110"/>
      <c r="H147" s="110"/>
      <c r="I147" s="110"/>
      <c r="J147" s="110"/>
      <c r="K147" s="127"/>
      <c r="L147" s="127"/>
      <c r="M147" s="127"/>
      <c r="N147" s="110"/>
      <c r="O147" s="110"/>
      <c r="P147" s="110"/>
      <c r="R147" s="110"/>
    </row>
    <row r="148" spans="1:18" ht="12" customHeight="1">
      <c r="A148" s="110" t="s">
        <v>73</v>
      </c>
      <c r="B148" s="111" t="s">
        <v>871</v>
      </c>
      <c r="C148" s="110"/>
      <c r="D148" s="110"/>
      <c r="E148" s="110"/>
      <c r="F148" s="110"/>
      <c r="G148" s="110"/>
      <c r="H148" s="110"/>
      <c r="I148" s="110"/>
      <c r="J148" s="110"/>
      <c r="K148" s="127"/>
      <c r="L148" s="127"/>
      <c r="M148" s="127"/>
      <c r="N148" s="110"/>
      <c r="O148" s="110"/>
      <c r="P148" s="110"/>
      <c r="R148" s="110"/>
    </row>
    <row r="149" spans="1:18" ht="12" customHeight="1">
      <c r="A149" s="110" t="s">
        <v>74</v>
      </c>
      <c r="B149" s="111" t="s">
        <v>872</v>
      </c>
      <c r="C149" s="110"/>
      <c r="D149" s="110"/>
      <c r="E149" s="110"/>
      <c r="F149" s="110"/>
      <c r="G149" s="110"/>
      <c r="H149" s="110"/>
      <c r="I149" s="110"/>
      <c r="J149" s="110"/>
      <c r="K149" s="127"/>
      <c r="L149" s="127"/>
      <c r="M149" s="127"/>
      <c r="N149" s="110"/>
      <c r="O149" s="110"/>
      <c r="P149" s="110"/>
      <c r="R149" s="110"/>
    </row>
    <row r="150" spans="1:18" ht="12" customHeight="1">
      <c r="A150" s="110" t="s">
        <v>13</v>
      </c>
      <c r="B150" s="111" t="s">
        <v>873</v>
      </c>
      <c r="C150" s="110"/>
      <c r="D150" s="110"/>
      <c r="E150" s="110"/>
      <c r="F150" s="110"/>
      <c r="G150" s="110"/>
      <c r="H150" s="110"/>
      <c r="I150" s="110"/>
      <c r="J150" s="110"/>
      <c r="K150" s="127"/>
      <c r="L150" s="127"/>
      <c r="M150" s="127"/>
      <c r="N150" s="110"/>
      <c r="O150" s="110"/>
      <c r="P150" s="110"/>
      <c r="R150" s="110"/>
    </row>
    <row r="151" spans="1:18" ht="12" customHeight="1">
      <c r="A151" s="110" t="s">
        <v>75</v>
      </c>
      <c r="B151" s="111" t="s">
        <v>874</v>
      </c>
      <c r="C151" s="110"/>
      <c r="D151" s="110"/>
      <c r="E151" s="110"/>
      <c r="F151" s="110"/>
      <c r="G151" s="110"/>
      <c r="H151" s="110"/>
      <c r="I151" s="110"/>
      <c r="J151" s="110"/>
      <c r="K151" s="127"/>
      <c r="L151" s="127"/>
      <c r="M151" s="127"/>
      <c r="N151" s="110"/>
      <c r="O151" s="110"/>
      <c r="P151" s="110"/>
      <c r="R151" s="110"/>
    </row>
    <row r="152" spans="1:18" ht="12" customHeight="1">
      <c r="A152" s="110" t="s">
        <v>76</v>
      </c>
      <c r="B152" s="111" t="s">
        <v>875</v>
      </c>
      <c r="C152" s="110"/>
      <c r="D152" s="110"/>
      <c r="E152" s="110"/>
      <c r="F152" s="110"/>
      <c r="G152" s="110"/>
      <c r="H152" s="110"/>
      <c r="I152" s="110"/>
      <c r="J152" s="110"/>
      <c r="K152" s="127"/>
      <c r="L152" s="127"/>
      <c r="M152" s="127"/>
      <c r="N152" s="110"/>
      <c r="O152" s="110"/>
      <c r="P152" s="110"/>
      <c r="R152" s="110"/>
    </row>
    <row r="153" spans="1:18" ht="12" customHeight="1">
      <c r="A153" s="110" t="s">
        <v>77</v>
      </c>
      <c r="B153" s="111" t="s">
        <v>876</v>
      </c>
      <c r="C153" s="110"/>
      <c r="D153" s="110"/>
      <c r="E153" s="110"/>
      <c r="F153" s="110"/>
      <c r="G153" s="110"/>
      <c r="H153" s="110"/>
      <c r="I153" s="110"/>
      <c r="J153" s="110"/>
      <c r="K153" s="127"/>
      <c r="L153" s="127"/>
      <c r="M153" s="127"/>
      <c r="N153" s="110"/>
      <c r="O153" s="110"/>
      <c r="P153" s="110"/>
      <c r="R153" s="110"/>
    </row>
    <row r="154" spans="1:18" ht="12" customHeight="1">
      <c r="A154" s="110" t="s">
        <v>78</v>
      </c>
      <c r="B154" s="111" t="s">
        <v>877</v>
      </c>
      <c r="C154" s="110"/>
      <c r="D154" s="110"/>
      <c r="E154" s="110"/>
      <c r="F154" s="110"/>
      <c r="G154" s="110"/>
      <c r="H154" s="110"/>
      <c r="I154" s="110"/>
      <c r="J154" s="110"/>
      <c r="K154" s="127"/>
      <c r="L154" s="127"/>
      <c r="M154" s="127"/>
      <c r="N154" s="110"/>
      <c r="O154" s="110"/>
      <c r="P154" s="110"/>
      <c r="R154" s="110"/>
    </row>
    <row r="155" spans="1:18" ht="12" customHeight="1">
      <c r="A155" s="110" t="s">
        <v>79</v>
      </c>
      <c r="B155" s="111" t="s">
        <v>878</v>
      </c>
      <c r="C155" s="110"/>
      <c r="D155" s="110"/>
      <c r="E155" s="110"/>
      <c r="F155" s="110"/>
      <c r="G155" s="110"/>
      <c r="H155" s="110"/>
      <c r="I155" s="110"/>
      <c r="J155" s="110"/>
      <c r="K155" s="127"/>
      <c r="L155" s="127"/>
      <c r="M155" s="127"/>
      <c r="N155" s="110"/>
      <c r="O155" s="110"/>
      <c r="P155" s="110"/>
      <c r="R155" s="110"/>
    </row>
    <row r="156" spans="1:18" ht="12" customHeight="1">
      <c r="A156" s="110" t="s">
        <v>80</v>
      </c>
      <c r="B156" s="111" t="s">
        <v>879</v>
      </c>
      <c r="C156" s="110"/>
      <c r="D156" s="110"/>
      <c r="E156" s="110"/>
      <c r="F156" s="110"/>
      <c r="G156" s="110"/>
      <c r="H156" s="110"/>
      <c r="I156" s="110"/>
      <c r="J156" s="110"/>
      <c r="K156" s="127"/>
      <c r="L156" s="127"/>
      <c r="M156" s="127"/>
      <c r="N156" s="110"/>
      <c r="O156" s="110"/>
      <c r="P156" s="110"/>
      <c r="R156" s="110"/>
    </row>
    <row r="157" spans="1:18" ht="12" customHeight="1">
      <c r="A157" s="110" t="s">
        <v>81</v>
      </c>
      <c r="B157" s="111" t="s">
        <v>880</v>
      </c>
      <c r="C157" s="110"/>
      <c r="D157" s="110"/>
      <c r="E157" s="110"/>
      <c r="F157" s="110"/>
      <c r="G157" s="110"/>
      <c r="H157" s="110"/>
      <c r="I157" s="110"/>
      <c r="J157" s="110"/>
      <c r="K157" s="127"/>
      <c r="L157" s="127"/>
      <c r="M157" s="127"/>
      <c r="N157" s="110"/>
      <c r="O157" s="110"/>
      <c r="P157" s="110"/>
      <c r="R157" s="110"/>
    </row>
    <row r="158" spans="1:18" ht="12" customHeight="1">
      <c r="A158" s="110" t="s">
        <v>82</v>
      </c>
      <c r="B158" s="111" t="s">
        <v>881</v>
      </c>
      <c r="C158" s="110"/>
      <c r="D158" s="110"/>
      <c r="E158" s="110"/>
      <c r="F158" s="110"/>
      <c r="G158" s="110"/>
      <c r="H158" s="110"/>
      <c r="I158" s="110"/>
      <c r="J158" s="110"/>
      <c r="K158" s="127"/>
      <c r="L158" s="127"/>
      <c r="M158" s="127"/>
      <c r="N158" s="110"/>
      <c r="O158" s="110"/>
      <c r="P158" s="110"/>
      <c r="R158" s="110"/>
    </row>
    <row r="159" spans="1:18" ht="12" customHeight="1">
      <c r="A159" s="110" t="s">
        <v>83</v>
      </c>
      <c r="B159" s="111" t="s">
        <v>882</v>
      </c>
      <c r="C159" s="110"/>
      <c r="D159" s="110"/>
      <c r="E159" s="110"/>
      <c r="F159" s="110"/>
      <c r="G159" s="110"/>
      <c r="H159" s="110"/>
      <c r="I159" s="110"/>
      <c r="J159" s="110"/>
      <c r="K159" s="127"/>
      <c r="L159" s="127"/>
      <c r="M159" s="127"/>
      <c r="N159" s="110"/>
      <c r="O159" s="110"/>
      <c r="P159" s="110"/>
      <c r="R159" s="110"/>
    </row>
    <row r="160" spans="1:18" ht="12" customHeight="1">
      <c r="A160" s="110" t="s">
        <v>87</v>
      </c>
      <c r="B160" s="111" t="s">
        <v>883</v>
      </c>
      <c r="C160" s="110"/>
      <c r="D160" s="110"/>
      <c r="E160" s="110"/>
      <c r="F160" s="110"/>
      <c r="G160" s="110"/>
      <c r="H160" s="110"/>
      <c r="I160" s="110"/>
      <c r="J160" s="110"/>
      <c r="K160" s="127"/>
      <c r="L160" s="127"/>
      <c r="M160" s="127"/>
      <c r="N160" s="110"/>
      <c r="O160" s="110"/>
      <c r="P160" s="110"/>
      <c r="R160" s="110"/>
    </row>
    <row r="161" spans="1:18" ht="12" customHeight="1">
      <c r="A161" s="110" t="s">
        <v>88</v>
      </c>
      <c r="B161" s="111" t="s">
        <v>884</v>
      </c>
      <c r="C161" s="110"/>
      <c r="D161" s="110"/>
      <c r="E161" s="110"/>
      <c r="F161" s="110"/>
      <c r="G161" s="110"/>
      <c r="H161" s="110"/>
      <c r="I161" s="110"/>
      <c r="J161" s="110"/>
      <c r="K161" s="127"/>
      <c r="L161" s="127"/>
      <c r="M161" s="127"/>
      <c r="N161" s="110"/>
      <c r="O161" s="110"/>
      <c r="P161" s="110"/>
      <c r="R161" s="110"/>
    </row>
    <row r="162" spans="1:18" ht="12" customHeight="1">
      <c r="A162" s="110" t="s">
        <v>89</v>
      </c>
      <c r="B162" s="111" t="s">
        <v>885</v>
      </c>
      <c r="C162" s="110"/>
      <c r="D162" s="110"/>
      <c r="E162" s="110"/>
      <c r="F162" s="110"/>
      <c r="G162" s="110"/>
      <c r="H162" s="110"/>
      <c r="I162" s="110"/>
      <c r="J162" s="110"/>
      <c r="K162" s="127"/>
      <c r="L162" s="127"/>
      <c r="M162" s="127"/>
      <c r="N162" s="110"/>
      <c r="O162" s="110"/>
      <c r="P162" s="110"/>
      <c r="R162" s="110"/>
    </row>
    <row r="163" spans="1:18" ht="12" customHeight="1">
      <c r="A163" s="110" t="s">
        <v>90</v>
      </c>
      <c r="B163" s="111" t="s">
        <v>886</v>
      </c>
      <c r="C163" s="110"/>
      <c r="D163" s="110"/>
      <c r="E163" s="110"/>
      <c r="F163" s="110"/>
      <c r="G163" s="110"/>
      <c r="H163" s="110"/>
      <c r="I163" s="110"/>
      <c r="J163" s="110"/>
      <c r="K163" s="127"/>
      <c r="L163" s="127"/>
      <c r="M163" s="127"/>
      <c r="N163" s="110"/>
      <c r="O163" s="110"/>
      <c r="P163" s="110"/>
      <c r="R163" s="110"/>
    </row>
    <row r="164" spans="1:18" ht="12" customHeight="1">
      <c r="A164" s="110" t="s">
        <v>91</v>
      </c>
      <c r="B164" s="111" t="s">
        <v>887</v>
      </c>
      <c r="C164" s="110"/>
      <c r="D164" s="110"/>
      <c r="E164" s="110"/>
      <c r="F164" s="110"/>
      <c r="G164" s="110"/>
      <c r="H164" s="110"/>
      <c r="I164" s="110"/>
      <c r="J164" s="110"/>
      <c r="L164" s="127"/>
      <c r="M164" s="127"/>
      <c r="N164" s="110"/>
      <c r="O164" s="110"/>
      <c r="P164" s="110"/>
      <c r="R164" s="110"/>
    </row>
    <row r="165" spans="1:18" ht="12" customHeight="1">
      <c r="A165" s="110" t="s">
        <v>92</v>
      </c>
      <c r="B165" s="111" t="s">
        <v>888</v>
      </c>
      <c r="C165" s="110"/>
      <c r="D165" s="110"/>
      <c r="E165" s="110"/>
      <c r="F165" s="110"/>
      <c r="G165" s="110"/>
      <c r="H165" s="110"/>
      <c r="I165" s="110"/>
      <c r="J165" s="110"/>
      <c r="L165" s="127"/>
      <c r="M165" s="127"/>
      <c r="N165" s="110"/>
      <c r="O165" s="110"/>
      <c r="P165" s="110"/>
      <c r="R165" s="110"/>
    </row>
    <row r="166" spans="1:18" ht="12" customHeight="1">
      <c r="A166" s="110" t="s">
        <v>93</v>
      </c>
      <c r="B166" s="111" t="s">
        <v>889</v>
      </c>
      <c r="C166" s="110"/>
      <c r="D166" s="110"/>
      <c r="E166" s="110"/>
      <c r="F166" s="110"/>
      <c r="G166" s="110"/>
      <c r="H166" s="110"/>
      <c r="I166" s="110"/>
      <c r="J166" s="110"/>
      <c r="L166" s="127"/>
      <c r="M166" s="127"/>
      <c r="N166" s="110"/>
      <c r="O166" s="110"/>
      <c r="P166" s="110"/>
      <c r="R166" s="110"/>
    </row>
    <row r="167" spans="1:18" ht="12" customHeight="1">
      <c r="A167" s="110" t="s">
        <v>19</v>
      </c>
      <c r="B167" s="111" t="s">
        <v>890</v>
      </c>
      <c r="C167" s="110"/>
      <c r="D167" s="110"/>
      <c r="E167" s="110"/>
      <c r="F167" s="110"/>
      <c r="G167" s="110"/>
      <c r="H167" s="110"/>
      <c r="I167" s="110"/>
      <c r="J167" s="110"/>
      <c r="L167" s="127"/>
      <c r="M167" s="127"/>
      <c r="N167" s="110"/>
      <c r="O167" s="110"/>
      <c r="P167" s="110"/>
      <c r="R167" s="110"/>
    </row>
    <row r="168" spans="1:18" ht="12" customHeight="1">
      <c r="A168" s="110" t="s">
        <v>94</v>
      </c>
      <c r="B168" s="111" t="s">
        <v>891</v>
      </c>
      <c r="C168" s="110"/>
      <c r="D168" s="110"/>
      <c r="E168" s="110"/>
      <c r="F168" s="110"/>
      <c r="G168" s="110"/>
      <c r="H168" s="110"/>
      <c r="I168" s="110"/>
      <c r="J168" s="110"/>
      <c r="L168" s="127"/>
      <c r="M168" s="127"/>
      <c r="N168" s="110"/>
      <c r="O168" s="110"/>
      <c r="P168" s="110"/>
      <c r="R168" s="110"/>
    </row>
    <row r="169" spans="1:18" ht="12" customHeight="1">
      <c r="A169" s="110" t="s">
        <v>95</v>
      </c>
      <c r="B169" s="111" t="s">
        <v>892</v>
      </c>
      <c r="C169" s="110"/>
      <c r="D169" s="110"/>
      <c r="E169" s="110"/>
      <c r="F169" s="110"/>
      <c r="H169" s="110"/>
      <c r="I169" s="110"/>
      <c r="J169" s="110"/>
      <c r="L169" s="127"/>
      <c r="M169" s="127"/>
      <c r="N169" s="110"/>
      <c r="O169" s="110"/>
      <c r="P169" s="110"/>
      <c r="R169" s="110"/>
    </row>
    <row r="170" spans="1:18" ht="12" customHeight="1">
      <c r="A170" s="110" t="s">
        <v>96</v>
      </c>
      <c r="B170" s="111" t="s">
        <v>893</v>
      </c>
      <c r="C170" s="110"/>
      <c r="D170" s="110"/>
      <c r="E170" s="110"/>
      <c r="F170" s="110"/>
      <c r="H170" s="110"/>
      <c r="I170" s="110"/>
      <c r="J170" s="110"/>
      <c r="L170" s="127"/>
      <c r="M170" s="127"/>
      <c r="N170" s="110"/>
      <c r="O170" s="110"/>
      <c r="P170" s="110"/>
      <c r="R170" s="110"/>
    </row>
    <row r="171" spans="1:18" ht="12" customHeight="1">
      <c r="A171" s="110" t="s">
        <v>97</v>
      </c>
      <c r="B171" s="111" t="s">
        <v>894</v>
      </c>
      <c r="C171" s="110"/>
      <c r="D171" s="110"/>
      <c r="E171" s="110"/>
      <c r="F171" s="110"/>
      <c r="H171" s="110"/>
      <c r="I171" s="110"/>
      <c r="J171" s="110"/>
      <c r="L171" s="127"/>
      <c r="M171" s="127"/>
      <c r="N171" s="110"/>
      <c r="O171" s="110"/>
      <c r="P171" s="110"/>
      <c r="R171" s="110"/>
    </row>
    <row r="172" spans="1:18" ht="12" customHeight="1">
      <c r="A172" s="110" t="s">
        <v>98</v>
      </c>
      <c r="B172" s="111" t="s">
        <v>895</v>
      </c>
      <c r="C172" s="110"/>
      <c r="D172" s="110"/>
      <c r="E172" s="110"/>
      <c r="F172" s="110"/>
      <c r="H172" s="110"/>
      <c r="I172" s="110"/>
      <c r="J172" s="110"/>
      <c r="L172" s="127"/>
      <c r="M172" s="127"/>
      <c r="N172" s="110"/>
      <c r="O172" s="110"/>
      <c r="P172" s="110"/>
      <c r="R172" s="110"/>
    </row>
    <row r="173" spans="1:18" ht="12" customHeight="1">
      <c r="A173" s="110" t="s">
        <v>99</v>
      </c>
      <c r="B173" s="111" t="s">
        <v>896</v>
      </c>
      <c r="C173" s="110"/>
      <c r="D173" s="110"/>
      <c r="E173" s="110"/>
      <c r="F173" s="110"/>
      <c r="H173" s="110"/>
      <c r="I173" s="110"/>
      <c r="J173" s="110"/>
      <c r="L173" s="127"/>
      <c r="M173" s="127"/>
      <c r="N173" s="110"/>
      <c r="O173" s="110"/>
      <c r="P173" s="110"/>
      <c r="R173" s="110"/>
    </row>
    <row r="174" spans="1:18" ht="12" customHeight="1">
      <c r="A174" s="110" t="s">
        <v>100</v>
      </c>
      <c r="B174" s="111" t="s">
        <v>897</v>
      </c>
      <c r="C174" s="110"/>
      <c r="D174" s="110"/>
      <c r="E174" s="110"/>
      <c r="F174" s="110"/>
      <c r="H174" s="110"/>
      <c r="I174" s="110"/>
      <c r="J174" s="110"/>
      <c r="L174" s="127"/>
      <c r="M174" s="127"/>
      <c r="N174" s="110"/>
      <c r="O174" s="110"/>
      <c r="P174" s="110"/>
      <c r="R174" s="110"/>
    </row>
    <row r="175" spans="1:18" ht="12" customHeight="1">
      <c r="A175" s="110" t="s">
        <v>101</v>
      </c>
      <c r="B175" s="111" t="s">
        <v>898</v>
      </c>
      <c r="C175" s="110"/>
      <c r="D175" s="110"/>
      <c r="E175" s="110"/>
      <c r="F175" s="110"/>
      <c r="H175" s="110"/>
      <c r="I175" s="110"/>
      <c r="J175" s="110"/>
      <c r="L175" s="127"/>
      <c r="M175" s="127"/>
      <c r="N175" s="110"/>
      <c r="O175" s="110"/>
      <c r="P175" s="110"/>
      <c r="R175" s="110"/>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6" zoomScale="60" zoomScaleNormal="100" workbookViewId="0"/>
  </sheetViews>
  <sheetFormatPr defaultColWidth="9.125" defaultRowHeight="11.4"/>
  <cols>
    <col min="1" max="2" width="9.125" style="10" hidden="1" customWidth="1"/>
    <col min="3" max="3" width="3.75" style="10" hidden="1" customWidth="1"/>
    <col min="4" max="4" width="94.875" style="10" customWidth="1"/>
    <col min="5" max="16384" width="9.125" style="10"/>
  </cols>
  <sheetData>
    <row r="1" spans="1:4" hidden="1">
      <c r="A1" s="1029"/>
      <c r="B1" s="1029"/>
      <c r="C1" s="1029"/>
      <c r="D1" s="1029"/>
    </row>
    <row r="2" spans="1:4" hidden="1">
      <c r="A2" s="1029"/>
      <c r="B2" s="1029"/>
      <c r="C2" s="1029"/>
      <c r="D2" s="1029"/>
    </row>
    <row r="3" spans="1:4" hidden="1">
      <c r="A3" s="1029"/>
      <c r="B3" s="1029"/>
      <c r="C3" s="1029"/>
      <c r="D3" s="1029"/>
    </row>
    <row r="4" spans="1:4" hidden="1">
      <c r="A4" s="1029"/>
      <c r="B4" s="1029"/>
      <c r="C4" s="1029"/>
      <c r="D4" s="1029"/>
    </row>
    <row r="5" spans="1:4" hidden="1">
      <c r="A5" s="1029"/>
      <c r="B5" s="1029"/>
      <c r="C5" s="1029"/>
      <c r="D5" s="1029"/>
    </row>
    <row r="6" spans="1:4">
      <c r="A6" s="1029"/>
      <c r="B6" s="1029"/>
      <c r="C6" s="1030"/>
      <c r="D6" s="1030"/>
    </row>
    <row r="7" spans="1:4" ht="20.100000000000001" customHeight="1">
      <c r="A7" s="1029"/>
      <c r="B7" s="1029"/>
      <c r="C7" s="1030"/>
      <c r="D7" s="1031" t="s">
        <v>109</v>
      </c>
    </row>
    <row r="8" spans="1:4">
      <c r="A8" s="1029"/>
      <c r="B8" s="1029"/>
      <c r="C8" s="1030"/>
      <c r="D8" s="1030"/>
    </row>
    <row r="9" spans="1:4" ht="20.100000000000001" customHeight="1">
      <c r="A9" s="1029"/>
      <c r="B9" s="1029"/>
      <c r="C9" s="1030"/>
      <c r="D9" s="1032"/>
    </row>
    <row r="10" spans="1:4" ht="20.100000000000001" customHeight="1">
      <c r="A10" s="1029"/>
      <c r="B10" s="1029"/>
      <c r="C10" s="1030"/>
      <c r="D10" s="1032"/>
    </row>
    <row r="11" spans="1:4" ht="20.100000000000001" customHeight="1">
      <c r="A11" s="1029"/>
      <c r="B11" s="1029"/>
      <c r="C11" s="1030"/>
      <c r="D11" s="1032"/>
    </row>
    <row r="12" spans="1:4" ht="20.100000000000001" customHeight="1">
      <c r="A12" s="1029"/>
      <c r="B12" s="1029"/>
      <c r="C12" s="1030"/>
      <c r="D12" s="1032"/>
    </row>
    <row r="13" spans="1:4" ht="20.100000000000001" customHeight="1">
      <c r="A13" s="1029"/>
      <c r="B13" s="1029"/>
      <c r="C13" s="1030"/>
      <c r="D13" s="1032"/>
    </row>
    <row r="14" spans="1:4" ht="20.100000000000001" customHeight="1">
      <c r="A14" s="1029"/>
      <c r="B14" s="1029"/>
      <c r="C14" s="1030"/>
      <c r="D14" s="1032"/>
    </row>
    <row r="15" spans="1:4" ht="20.100000000000001" customHeight="1">
      <c r="A15" s="1029"/>
      <c r="B15" s="1029"/>
      <c r="C15" s="1030"/>
      <c r="D15" s="1032"/>
    </row>
    <row r="16" spans="1:4" ht="20.100000000000001" customHeight="1">
      <c r="A16" s="1029"/>
      <c r="B16" s="1029"/>
      <c r="C16" s="1030"/>
      <c r="D16" s="1032"/>
    </row>
    <row r="17" spans="1:4" ht="20.100000000000001" customHeight="1">
      <c r="A17" s="1029"/>
      <c r="B17" s="1029"/>
      <c r="C17" s="1030"/>
      <c r="D17" s="1032"/>
    </row>
    <row r="18" spans="1:4" ht="20.100000000000001" customHeight="1">
      <c r="A18" s="1029"/>
      <c r="B18" s="1029"/>
      <c r="C18" s="1030"/>
      <c r="D18" s="1032"/>
    </row>
    <row r="19" spans="1:4">
      <c r="A19" s="1029"/>
      <c r="B19" s="1029"/>
      <c r="C19" s="1030"/>
      <c r="D19" s="1030"/>
    </row>
  </sheetData>
  <sheetProtection formatColumns="0" formatRows="0" autoFilter="0"/>
  <phoneticPr fontId="16"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orientation="portrait" r:id="rId1"/>
  <headerFooter alignWithMargins="0">
    <oddFooter>&amp;C&amp;A
&amp;P из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heetViews>
  <sheetFormatPr defaultColWidth="9.125" defaultRowHeight="11.4"/>
  <cols>
    <col min="1" max="1" width="4.75" style="11" customWidth="1"/>
    <col min="2" max="3" width="35" style="11" customWidth="1"/>
    <col min="4" max="4" width="103.25" style="11" customWidth="1"/>
    <col min="5" max="5" width="17.75" style="11" customWidth="1"/>
    <col min="6" max="16384" width="9.125" style="11"/>
  </cols>
  <sheetData>
    <row r="2" spans="2:5" ht="20.100000000000001" customHeight="1">
      <c r="B2" s="1192" t="s">
        <v>110</v>
      </c>
      <c r="C2" s="1192"/>
      <c r="D2" s="1192"/>
      <c r="E2" s="1192"/>
    </row>
    <row r="3" spans="2:5">
      <c r="B3" s="1033"/>
      <c r="C3" s="1033"/>
      <c r="D3" s="1033"/>
      <c r="E3" s="1033"/>
    </row>
    <row r="4" spans="2:5" ht="21.75" customHeight="1" thickBot="1">
      <c r="B4" s="1034" t="s">
        <v>1123</v>
      </c>
      <c r="C4" s="1034" t="s">
        <v>1124</v>
      </c>
      <c r="D4" s="1034" t="s">
        <v>15</v>
      </c>
      <c r="E4" s="1035" t="s">
        <v>147</v>
      </c>
    </row>
    <row r="5" spans="2:5" ht="12" thickTop="1">
      <c r="B5" s="1033"/>
      <c r="C5" s="1033"/>
      <c r="D5" s="1033"/>
      <c r="E5" s="1033"/>
    </row>
  </sheetData>
  <sheetProtection formatColumns="0" formatRows="0" autoFilter="0"/>
  <autoFilter ref="B4:E4"/>
  <mergeCells count="1">
    <mergeCell ref="B2:E2"/>
  </mergeCells>
  <phoneticPr fontId="16" type="noConversion"/>
  <pageMargins left="0.75" right="0.75" top="1" bottom="0.47222222222222221" header="0.5" footer="0.5"/>
  <pageSetup paperSize="9" orientation="portrait" r:id="rId1"/>
  <headerFooter alignWithMargins="0">
    <oddFooter>&amp;C&amp;A
&amp;P из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4"/>
  <sheetData>
    <row r="1" spans="1:5">
      <c r="A1" s="602" t="s">
        <v>1010</v>
      </c>
      <c r="B1" s="602" t="s">
        <v>1011</v>
      </c>
      <c r="C1" s="602" t="s">
        <v>2540</v>
      </c>
      <c r="D1" s="602" t="s">
        <v>2874</v>
      </c>
      <c r="E1" s="602"/>
    </row>
    <row r="2" spans="1:5">
      <c r="A2" s="602" t="s">
        <v>2541</v>
      </c>
      <c r="B2" s="602" t="s">
        <v>2541</v>
      </c>
      <c r="C2" s="602" t="s">
        <v>2542</v>
      </c>
      <c r="D2" s="602" t="s">
        <v>2541</v>
      </c>
      <c r="E2" s="602" t="s">
        <v>2875</v>
      </c>
    </row>
    <row r="3" spans="1:5">
      <c r="A3" s="602" t="s">
        <v>2541</v>
      </c>
      <c r="B3" s="602" t="s">
        <v>2543</v>
      </c>
      <c r="C3" s="602" t="s">
        <v>2544</v>
      </c>
      <c r="D3" s="602" t="s">
        <v>2553</v>
      </c>
      <c r="E3" s="602" t="s">
        <v>2876</v>
      </c>
    </row>
    <row r="4" spans="1:5">
      <c r="A4" s="602" t="s">
        <v>2541</v>
      </c>
      <c r="B4" s="602" t="s">
        <v>2545</v>
      </c>
      <c r="C4" s="602" t="s">
        <v>2546</v>
      </c>
      <c r="D4" s="602" t="s">
        <v>2573</v>
      </c>
      <c r="E4" s="602" t="s">
        <v>2877</v>
      </c>
    </row>
    <row r="5" spans="1:5">
      <c r="A5" s="602" t="s">
        <v>2541</v>
      </c>
      <c r="B5" s="602" t="s">
        <v>2547</v>
      </c>
      <c r="C5" s="602" t="s">
        <v>2548</v>
      </c>
      <c r="D5" s="602" t="s">
        <v>2587</v>
      </c>
      <c r="E5" s="602" t="s">
        <v>2878</v>
      </c>
    </row>
    <row r="6" spans="1:5">
      <c r="A6" s="602" t="s">
        <v>2541</v>
      </c>
      <c r="B6" s="602" t="s">
        <v>2549</v>
      </c>
      <c r="C6" s="602" t="s">
        <v>2550</v>
      </c>
      <c r="D6" s="602" t="s">
        <v>2605</v>
      </c>
      <c r="E6" s="602" t="s">
        <v>2879</v>
      </c>
    </row>
    <row r="7" spans="1:5">
      <c r="A7" s="602" t="s">
        <v>2541</v>
      </c>
      <c r="B7" s="602" t="s">
        <v>2551</v>
      </c>
      <c r="C7" s="602" t="s">
        <v>2552</v>
      </c>
      <c r="D7" s="602" t="s">
        <v>2623</v>
      </c>
      <c r="E7" s="602" t="s">
        <v>2880</v>
      </c>
    </row>
    <row r="8" spans="1:5">
      <c r="A8" s="602" t="s">
        <v>2553</v>
      </c>
      <c r="B8" s="602" t="s">
        <v>2553</v>
      </c>
      <c r="C8" s="602" t="s">
        <v>2554</v>
      </c>
      <c r="D8" s="602" t="s">
        <v>2637</v>
      </c>
      <c r="E8" s="602" t="s">
        <v>2881</v>
      </c>
    </row>
    <row r="9" spans="1:5">
      <c r="A9" s="602" t="s">
        <v>2553</v>
      </c>
      <c r="B9" s="602" t="s">
        <v>2555</v>
      </c>
      <c r="C9" s="602" t="s">
        <v>2556</v>
      </c>
      <c r="D9" s="602" t="s">
        <v>2653</v>
      </c>
      <c r="E9" s="602" t="s">
        <v>2882</v>
      </c>
    </row>
    <row r="10" spans="1:5">
      <c r="A10" s="602" t="s">
        <v>2553</v>
      </c>
      <c r="B10" s="602" t="s">
        <v>2557</v>
      </c>
      <c r="C10" s="602" t="s">
        <v>2558</v>
      </c>
      <c r="D10" s="602" t="s">
        <v>2671</v>
      </c>
      <c r="E10" s="602" t="s">
        <v>2883</v>
      </c>
    </row>
    <row r="11" spans="1:5">
      <c r="A11" s="602" t="s">
        <v>2553</v>
      </c>
      <c r="B11" s="602" t="s">
        <v>2559</v>
      </c>
      <c r="C11" s="602" t="s">
        <v>2560</v>
      </c>
      <c r="D11" s="602" t="s">
        <v>2691</v>
      </c>
      <c r="E11" s="602" t="s">
        <v>2884</v>
      </c>
    </row>
    <row r="12" spans="1:5">
      <c r="A12" s="602" t="s">
        <v>2553</v>
      </c>
      <c r="B12" s="602" t="s">
        <v>2561</v>
      </c>
      <c r="C12" s="602" t="s">
        <v>2562</v>
      </c>
      <c r="D12" s="602" t="s">
        <v>2703</v>
      </c>
      <c r="E12" s="602" t="s">
        <v>2885</v>
      </c>
    </row>
    <row r="13" spans="1:5">
      <c r="A13" s="602" t="s">
        <v>2553</v>
      </c>
      <c r="B13" s="602" t="s">
        <v>2563</v>
      </c>
      <c r="C13" s="602" t="s">
        <v>2564</v>
      </c>
      <c r="D13" s="602" t="s">
        <v>2717</v>
      </c>
      <c r="E13" s="602" t="s">
        <v>2886</v>
      </c>
    </row>
    <row r="14" spans="1:5">
      <c r="A14" s="602" t="s">
        <v>2553</v>
      </c>
      <c r="B14" s="602" t="s">
        <v>2565</v>
      </c>
      <c r="C14" s="602" t="s">
        <v>2566</v>
      </c>
      <c r="D14" s="602" t="s">
        <v>2731</v>
      </c>
      <c r="E14" s="602" t="s">
        <v>2887</v>
      </c>
    </row>
    <row r="15" spans="1:5">
      <c r="A15" s="602" t="s">
        <v>2553</v>
      </c>
      <c r="B15" s="602" t="s">
        <v>2567</v>
      </c>
      <c r="C15" s="602" t="s">
        <v>2568</v>
      </c>
      <c r="D15" s="602" t="s">
        <v>2743</v>
      </c>
      <c r="E15" s="602" t="s">
        <v>2888</v>
      </c>
    </row>
    <row r="16" spans="1:5">
      <c r="A16" s="602" t="s">
        <v>2553</v>
      </c>
      <c r="B16" s="602" t="s">
        <v>2569</v>
      </c>
      <c r="C16" s="602" t="s">
        <v>2570</v>
      </c>
      <c r="D16" s="602" t="s">
        <v>2757</v>
      </c>
      <c r="E16" s="602" t="s">
        <v>2889</v>
      </c>
    </row>
    <row r="17" spans="1:5">
      <c r="A17" s="602" t="s">
        <v>2553</v>
      </c>
      <c r="B17" s="602" t="s">
        <v>2571</v>
      </c>
      <c r="C17" s="602" t="s">
        <v>2572</v>
      </c>
      <c r="D17" s="602" t="s">
        <v>2769</v>
      </c>
      <c r="E17" s="602" t="s">
        <v>2890</v>
      </c>
    </row>
    <row r="18" spans="1:5">
      <c r="A18" s="602" t="s">
        <v>2573</v>
      </c>
      <c r="B18" s="602" t="s">
        <v>2574</v>
      </c>
      <c r="C18" s="602" t="s">
        <v>2575</v>
      </c>
      <c r="D18" s="602" t="s">
        <v>2785</v>
      </c>
      <c r="E18" s="602" t="s">
        <v>2891</v>
      </c>
    </row>
    <row r="19" spans="1:5">
      <c r="A19" s="602" t="s">
        <v>2573</v>
      </c>
      <c r="B19" s="602" t="s">
        <v>2573</v>
      </c>
      <c r="C19" s="602" t="s">
        <v>2576</v>
      </c>
      <c r="D19" s="602" t="s">
        <v>2801</v>
      </c>
      <c r="E19" s="602" t="s">
        <v>2892</v>
      </c>
    </row>
    <row r="20" spans="1:5">
      <c r="A20" s="602" t="s">
        <v>2573</v>
      </c>
      <c r="B20" s="602" t="s">
        <v>2577</v>
      </c>
      <c r="C20" s="602" t="s">
        <v>2578</v>
      </c>
      <c r="D20" s="602" t="s">
        <v>2815</v>
      </c>
      <c r="E20" s="602" t="s">
        <v>2893</v>
      </c>
    </row>
    <row r="21" spans="1:5">
      <c r="A21" s="602" t="s">
        <v>2573</v>
      </c>
      <c r="B21" s="602" t="s">
        <v>2579</v>
      </c>
      <c r="C21" s="602" t="s">
        <v>2580</v>
      </c>
      <c r="D21" s="602" t="s">
        <v>2829</v>
      </c>
      <c r="E21" s="602" t="s">
        <v>2894</v>
      </c>
    </row>
    <row r="22" spans="1:5">
      <c r="A22" s="602" t="s">
        <v>2573</v>
      </c>
      <c r="B22" s="602" t="s">
        <v>2581</v>
      </c>
      <c r="C22" s="602" t="s">
        <v>2582</v>
      </c>
      <c r="D22" s="602" t="s">
        <v>2846</v>
      </c>
      <c r="E22" s="602" t="s">
        <v>2895</v>
      </c>
    </row>
    <row r="23" spans="1:5">
      <c r="A23" s="602" t="s">
        <v>2573</v>
      </c>
      <c r="B23" s="602" t="s">
        <v>2583</v>
      </c>
      <c r="C23" s="602" t="s">
        <v>2584</v>
      </c>
      <c r="D23" s="602" t="s">
        <v>2868</v>
      </c>
      <c r="E23" s="602" t="s">
        <v>2896</v>
      </c>
    </row>
    <row r="24" spans="1:5">
      <c r="A24" s="602" t="s">
        <v>2573</v>
      </c>
      <c r="B24" s="602" t="s">
        <v>2585</v>
      </c>
      <c r="C24" s="602" t="s">
        <v>2586</v>
      </c>
      <c r="D24" s="602" t="s">
        <v>2870</v>
      </c>
      <c r="E24" s="602" t="s">
        <v>2897</v>
      </c>
    </row>
    <row r="25" spans="1:5">
      <c r="A25" s="602" t="s">
        <v>2587</v>
      </c>
      <c r="B25" s="602" t="s">
        <v>2588</v>
      </c>
      <c r="C25" s="602" t="s">
        <v>2589</v>
      </c>
      <c r="D25" s="602" t="s">
        <v>2872</v>
      </c>
      <c r="E25" s="602" t="s">
        <v>2898</v>
      </c>
    </row>
    <row r="26" spans="1:5">
      <c r="A26" s="602" t="s">
        <v>2587</v>
      </c>
      <c r="B26" s="602" t="s">
        <v>2590</v>
      </c>
      <c r="C26" s="602" t="s">
        <v>2591</v>
      </c>
      <c r="D26" s="602"/>
      <c r="E26" s="602"/>
    </row>
    <row r="27" spans="1:5">
      <c r="A27" s="602" t="s">
        <v>2587</v>
      </c>
      <c r="B27" s="602" t="s">
        <v>2587</v>
      </c>
      <c r="C27" s="602" t="s">
        <v>2592</v>
      </c>
      <c r="D27" s="602"/>
      <c r="E27" s="602"/>
    </row>
    <row r="28" spans="1:5">
      <c r="A28" s="602" t="s">
        <v>2587</v>
      </c>
      <c r="B28" s="602" t="s">
        <v>2593</v>
      </c>
      <c r="C28" s="602" t="s">
        <v>2594</v>
      </c>
      <c r="D28" s="602"/>
      <c r="E28" s="602"/>
    </row>
    <row r="29" spans="1:5">
      <c r="A29" s="602" t="s">
        <v>2587</v>
      </c>
      <c r="B29" s="602" t="s">
        <v>2595</v>
      </c>
      <c r="C29" s="602" t="s">
        <v>2596</v>
      </c>
      <c r="D29" s="602"/>
      <c r="E29" s="602"/>
    </row>
    <row r="30" spans="1:5">
      <c r="A30" s="602" t="s">
        <v>2587</v>
      </c>
      <c r="B30" s="602" t="s">
        <v>2597</v>
      </c>
      <c r="C30" s="602" t="s">
        <v>2598</v>
      </c>
      <c r="D30" s="602"/>
      <c r="E30" s="602"/>
    </row>
    <row r="31" spans="1:5">
      <c r="A31" s="602" t="s">
        <v>2587</v>
      </c>
      <c r="B31" s="602" t="s">
        <v>2599</v>
      </c>
      <c r="C31" s="602" t="s">
        <v>2600</v>
      </c>
      <c r="D31" s="602"/>
      <c r="E31" s="602"/>
    </row>
    <row r="32" spans="1:5">
      <c r="A32" s="602" t="s">
        <v>2587</v>
      </c>
      <c r="B32" s="602" t="s">
        <v>2601</v>
      </c>
      <c r="C32" s="602" t="s">
        <v>2602</v>
      </c>
      <c r="D32" s="602"/>
      <c r="E32" s="602"/>
    </row>
    <row r="33" spans="1:5">
      <c r="A33" s="602" t="s">
        <v>2587</v>
      </c>
      <c r="B33" s="602" t="s">
        <v>2603</v>
      </c>
      <c r="C33" s="602" t="s">
        <v>2604</v>
      </c>
      <c r="D33" s="602"/>
      <c r="E33" s="602"/>
    </row>
    <row r="34" spans="1:5">
      <c r="A34" s="602" t="s">
        <v>2605</v>
      </c>
      <c r="B34" s="602" t="s">
        <v>2606</v>
      </c>
      <c r="C34" s="602" t="s">
        <v>2607</v>
      </c>
      <c r="D34" s="602"/>
      <c r="E34" s="602"/>
    </row>
    <row r="35" spans="1:5">
      <c r="A35" s="602" t="s">
        <v>2605</v>
      </c>
      <c r="B35" s="602" t="s">
        <v>2608</v>
      </c>
      <c r="C35" s="602" t="s">
        <v>2609</v>
      </c>
      <c r="D35" s="602"/>
      <c r="E35" s="602"/>
    </row>
    <row r="36" spans="1:5">
      <c r="A36" s="602" t="s">
        <v>2605</v>
      </c>
      <c r="B36" s="602" t="s">
        <v>2610</v>
      </c>
      <c r="C36" s="602" t="s">
        <v>2611</v>
      </c>
      <c r="D36" s="602"/>
      <c r="E36" s="602"/>
    </row>
    <row r="37" spans="1:5">
      <c r="A37" s="602" t="s">
        <v>2605</v>
      </c>
      <c r="B37" s="602" t="s">
        <v>2605</v>
      </c>
      <c r="C37" s="602" t="s">
        <v>2612</v>
      </c>
      <c r="D37" s="602"/>
      <c r="E37" s="602"/>
    </row>
    <row r="38" spans="1:5">
      <c r="A38" s="602" t="s">
        <v>2605</v>
      </c>
      <c r="B38" s="602" t="s">
        <v>2613</v>
      </c>
      <c r="C38" s="602" t="s">
        <v>2614</v>
      </c>
      <c r="D38" s="602"/>
      <c r="E38" s="602"/>
    </row>
    <row r="39" spans="1:5">
      <c r="A39" s="602" t="s">
        <v>2605</v>
      </c>
      <c r="B39" s="602" t="s">
        <v>2615</v>
      </c>
      <c r="C39" s="602" t="s">
        <v>2616</v>
      </c>
      <c r="D39" s="602"/>
      <c r="E39" s="602"/>
    </row>
    <row r="40" spans="1:5">
      <c r="A40" s="602" t="s">
        <v>2605</v>
      </c>
      <c r="B40" s="602" t="s">
        <v>2617</v>
      </c>
      <c r="C40" s="602" t="s">
        <v>2618</v>
      </c>
      <c r="D40" s="602"/>
      <c r="E40" s="602"/>
    </row>
    <row r="41" spans="1:5">
      <c r="A41" s="602" t="s">
        <v>2605</v>
      </c>
      <c r="B41" s="602" t="s">
        <v>2619</v>
      </c>
      <c r="C41" s="602" t="s">
        <v>2620</v>
      </c>
      <c r="D41" s="602"/>
      <c r="E41" s="602"/>
    </row>
    <row r="42" spans="1:5">
      <c r="A42" s="602" t="s">
        <v>2605</v>
      </c>
      <c r="B42" s="602" t="s">
        <v>2621</v>
      </c>
      <c r="C42" s="602" t="s">
        <v>2622</v>
      </c>
      <c r="D42" s="602"/>
      <c r="E42" s="602"/>
    </row>
    <row r="43" spans="1:5">
      <c r="A43" s="602" t="s">
        <v>2623</v>
      </c>
      <c r="B43" s="602" t="s">
        <v>2624</v>
      </c>
      <c r="C43" s="602" t="s">
        <v>2625</v>
      </c>
      <c r="D43" s="602"/>
      <c r="E43" s="602"/>
    </row>
    <row r="44" spans="1:5">
      <c r="A44" s="602" t="s">
        <v>2623</v>
      </c>
      <c r="B44" s="602" t="s">
        <v>2626</v>
      </c>
      <c r="C44" s="602" t="s">
        <v>2627</v>
      </c>
      <c r="D44" s="602"/>
      <c r="E44" s="602"/>
    </row>
    <row r="45" spans="1:5">
      <c r="A45" s="602" t="s">
        <v>2623</v>
      </c>
      <c r="B45" s="602" t="s">
        <v>2628</v>
      </c>
      <c r="C45" s="602" t="s">
        <v>2629</v>
      </c>
      <c r="D45" s="602"/>
      <c r="E45" s="602"/>
    </row>
    <row r="46" spans="1:5">
      <c r="A46" s="602" t="s">
        <v>2623</v>
      </c>
      <c r="B46" s="602" t="s">
        <v>2623</v>
      </c>
      <c r="C46" s="602" t="s">
        <v>2630</v>
      </c>
      <c r="D46" s="602"/>
      <c r="E46" s="602"/>
    </row>
    <row r="47" spans="1:5">
      <c r="A47" s="602" t="s">
        <v>2623</v>
      </c>
      <c r="B47" s="602" t="s">
        <v>2631</v>
      </c>
      <c r="C47" s="602" t="s">
        <v>2632</v>
      </c>
      <c r="D47" s="602"/>
      <c r="E47" s="602"/>
    </row>
    <row r="48" spans="1:5">
      <c r="A48" s="602" t="s">
        <v>2623</v>
      </c>
      <c r="B48" s="602" t="s">
        <v>2633</v>
      </c>
      <c r="C48" s="602" t="s">
        <v>2634</v>
      </c>
      <c r="D48" s="602"/>
      <c r="E48" s="602"/>
    </row>
    <row r="49" spans="1:5">
      <c r="A49" s="602" t="s">
        <v>2623</v>
      </c>
      <c r="B49" s="602" t="s">
        <v>2635</v>
      </c>
      <c r="C49" s="602" t="s">
        <v>2636</v>
      </c>
      <c r="D49" s="602"/>
      <c r="E49" s="602"/>
    </row>
    <row r="50" spans="1:5">
      <c r="A50" s="602" t="s">
        <v>2637</v>
      </c>
      <c r="B50" s="602" t="s">
        <v>2638</v>
      </c>
      <c r="C50" s="602" t="s">
        <v>2639</v>
      </c>
      <c r="D50" s="602"/>
      <c r="E50" s="602"/>
    </row>
    <row r="51" spans="1:5">
      <c r="A51" s="602" t="s">
        <v>2637</v>
      </c>
      <c r="B51" s="602" t="s">
        <v>2640</v>
      </c>
      <c r="C51" s="602" t="s">
        <v>2641</v>
      </c>
      <c r="D51" s="602"/>
      <c r="E51" s="602"/>
    </row>
    <row r="52" spans="1:5">
      <c r="A52" s="602" t="s">
        <v>2637</v>
      </c>
      <c r="B52" s="602" t="s">
        <v>2642</v>
      </c>
      <c r="C52" s="602" t="s">
        <v>2643</v>
      </c>
      <c r="D52" s="602"/>
      <c r="E52" s="602"/>
    </row>
    <row r="53" spans="1:5">
      <c r="A53" s="602" t="s">
        <v>2637</v>
      </c>
      <c r="B53" s="602" t="s">
        <v>2644</v>
      </c>
      <c r="C53" s="602" t="s">
        <v>2645</v>
      </c>
      <c r="D53" s="602"/>
      <c r="E53" s="602"/>
    </row>
    <row r="54" spans="1:5">
      <c r="A54" s="602" t="s">
        <v>2637</v>
      </c>
      <c r="B54" s="602" t="s">
        <v>2637</v>
      </c>
      <c r="C54" s="602" t="s">
        <v>2646</v>
      </c>
      <c r="D54" s="602"/>
      <c r="E54" s="602"/>
    </row>
    <row r="55" spans="1:5">
      <c r="A55" s="602" t="s">
        <v>2637</v>
      </c>
      <c r="B55" s="602" t="s">
        <v>2647</v>
      </c>
      <c r="C55" s="602" t="s">
        <v>2648</v>
      </c>
      <c r="D55" s="602"/>
      <c r="E55" s="602"/>
    </row>
    <row r="56" spans="1:5">
      <c r="A56" s="602" t="s">
        <v>2637</v>
      </c>
      <c r="B56" s="602" t="s">
        <v>2649</v>
      </c>
      <c r="C56" s="602" t="s">
        <v>2650</v>
      </c>
      <c r="D56" s="602"/>
      <c r="E56" s="602"/>
    </row>
    <row r="57" spans="1:5">
      <c r="A57" s="602" t="s">
        <v>2637</v>
      </c>
      <c r="B57" s="602" t="s">
        <v>2651</v>
      </c>
      <c r="C57" s="602" t="s">
        <v>2652</v>
      </c>
      <c r="D57" s="602"/>
      <c r="E57" s="602"/>
    </row>
    <row r="58" spans="1:5">
      <c r="A58" s="602" t="s">
        <v>2653</v>
      </c>
      <c r="B58" s="602" t="s">
        <v>2654</v>
      </c>
      <c r="C58" s="602" t="s">
        <v>2655</v>
      </c>
      <c r="D58" s="602"/>
      <c r="E58" s="602"/>
    </row>
    <row r="59" spans="1:5">
      <c r="A59" s="602" t="s">
        <v>2653</v>
      </c>
      <c r="B59" s="602" t="s">
        <v>2653</v>
      </c>
      <c r="C59" s="602" t="s">
        <v>2656</v>
      </c>
      <c r="D59" s="602"/>
      <c r="E59" s="602"/>
    </row>
    <row r="60" spans="1:5">
      <c r="A60" s="602" t="s">
        <v>2653</v>
      </c>
      <c r="B60" s="602" t="s">
        <v>2657</v>
      </c>
      <c r="C60" s="602" t="s">
        <v>2658</v>
      </c>
      <c r="D60" s="602"/>
      <c r="E60" s="602"/>
    </row>
    <row r="61" spans="1:5">
      <c r="A61" s="602" t="s">
        <v>2653</v>
      </c>
      <c r="B61" s="602" t="s">
        <v>2659</v>
      </c>
      <c r="C61" s="602" t="s">
        <v>2660</v>
      </c>
      <c r="D61" s="602"/>
      <c r="E61" s="602"/>
    </row>
    <row r="62" spans="1:5">
      <c r="A62" s="602" t="s">
        <v>2653</v>
      </c>
      <c r="B62" s="602" t="s">
        <v>2661</v>
      </c>
      <c r="C62" s="602" t="s">
        <v>2662</v>
      </c>
      <c r="D62" s="602"/>
      <c r="E62" s="602"/>
    </row>
    <row r="63" spans="1:5">
      <c r="A63" s="602" t="s">
        <v>2653</v>
      </c>
      <c r="B63" s="602" t="s">
        <v>2663</v>
      </c>
      <c r="C63" s="602" t="s">
        <v>2664</v>
      </c>
      <c r="D63" s="602"/>
      <c r="E63" s="602"/>
    </row>
    <row r="64" spans="1:5">
      <c r="A64" s="602" t="s">
        <v>2653</v>
      </c>
      <c r="B64" s="602" t="s">
        <v>2665</v>
      </c>
      <c r="C64" s="602" t="s">
        <v>2666</v>
      </c>
      <c r="D64" s="602"/>
      <c r="E64" s="602"/>
    </row>
    <row r="65" spans="1:5">
      <c r="A65" s="602" t="s">
        <v>2653</v>
      </c>
      <c r="B65" s="602" t="s">
        <v>2667</v>
      </c>
      <c r="C65" s="602" t="s">
        <v>2668</v>
      </c>
      <c r="D65" s="602"/>
      <c r="E65" s="602"/>
    </row>
    <row r="66" spans="1:5">
      <c r="A66" s="602" t="s">
        <v>2653</v>
      </c>
      <c r="B66" s="602" t="s">
        <v>2669</v>
      </c>
      <c r="C66" s="602" t="s">
        <v>2670</v>
      </c>
      <c r="D66" s="602"/>
      <c r="E66" s="602"/>
    </row>
    <row r="67" spans="1:5">
      <c r="A67" s="602" t="s">
        <v>2671</v>
      </c>
      <c r="B67" s="602" t="s">
        <v>2672</v>
      </c>
      <c r="C67" s="602" t="s">
        <v>2673</v>
      </c>
      <c r="D67" s="602"/>
      <c r="E67" s="602"/>
    </row>
    <row r="68" spans="1:5">
      <c r="A68" s="602" t="s">
        <v>2671</v>
      </c>
      <c r="B68" s="602" t="s">
        <v>2674</v>
      </c>
      <c r="C68" s="602" t="s">
        <v>2675</v>
      </c>
      <c r="D68" s="602"/>
      <c r="E68" s="602"/>
    </row>
    <row r="69" spans="1:5">
      <c r="A69" s="602" t="s">
        <v>2671</v>
      </c>
      <c r="B69" s="602" t="s">
        <v>2676</v>
      </c>
      <c r="C69" s="602" t="s">
        <v>2677</v>
      </c>
      <c r="D69" s="602"/>
      <c r="E69" s="602"/>
    </row>
    <row r="70" spans="1:5">
      <c r="A70" s="602" t="s">
        <v>2671</v>
      </c>
      <c r="B70" s="602" t="s">
        <v>2678</v>
      </c>
      <c r="C70" s="602" t="s">
        <v>2679</v>
      </c>
      <c r="D70" s="602"/>
      <c r="E70" s="602"/>
    </row>
    <row r="71" spans="1:5">
      <c r="A71" s="602" t="s">
        <v>2671</v>
      </c>
      <c r="B71" s="602" t="s">
        <v>2671</v>
      </c>
      <c r="C71" s="602" t="s">
        <v>2680</v>
      </c>
      <c r="D71" s="602"/>
      <c r="E71" s="602"/>
    </row>
    <row r="72" spans="1:5">
      <c r="A72" s="602" t="s">
        <v>2671</v>
      </c>
      <c r="B72" s="602" t="s">
        <v>2681</v>
      </c>
      <c r="C72" s="602" t="s">
        <v>2682</v>
      </c>
      <c r="D72" s="602"/>
      <c r="E72" s="602"/>
    </row>
    <row r="73" spans="1:5">
      <c r="A73" s="602" t="s">
        <v>2671</v>
      </c>
      <c r="B73" s="602" t="s">
        <v>2683</v>
      </c>
      <c r="C73" s="602" t="s">
        <v>2684</v>
      </c>
      <c r="D73" s="602"/>
      <c r="E73" s="602"/>
    </row>
    <row r="74" spans="1:5">
      <c r="A74" s="602" t="s">
        <v>2671</v>
      </c>
      <c r="B74" s="602" t="s">
        <v>2685</v>
      </c>
      <c r="C74" s="602" t="s">
        <v>2686</v>
      </c>
      <c r="D74" s="602"/>
      <c r="E74" s="602"/>
    </row>
    <row r="75" spans="1:5">
      <c r="A75" s="602" t="s">
        <v>2671</v>
      </c>
      <c r="B75" s="602" t="s">
        <v>2687</v>
      </c>
      <c r="C75" s="602" t="s">
        <v>2688</v>
      </c>
      <c r="D75" s="602"/>
      <c r="E75" s="602"/>
    </row>
    <row r="76" spans="1:5">
      <c r="A76" s="602" t="s">
        <v>2671</v>
      </c>
      <c r="B76" s="602" t="s">
        <v>2689</v>
      </c>
      <c r="C76" s="602" t="s">
        <v>2690</v>
      </c>
      <c r="D76" s="602"/>
      <c r="E76" s="602"/>
    </row>
    <row r="77" spans="1:5">
      <c r="A77" s="602" t="s">
        <v>2691</v>
      </c>
      <c r="B77" s="602" t="s">
        <v>2692</v>
      </c>
      <c r="C77" s="602" t="s">
        <v>2693</v>
      </c>
      <c r="D77" s="602"/>
      <c r="E77" s="602"/>
    </row>
    <row r="78" spans="1:5">
      <c r="A78" s="602" t="s">
        <v>2691</v>
      </c>
      <c r="B78" s="602" t="s">
        <v>2691</v>
      </c>
      <c r="C78" s="602" t="s">
        <v>2694</v>
      </c>
      <c r="D78" s="602"/>
      <c r="E78" s="602"/>
    </row>
    <row r="79" spans="1:5">
      <c r="A79" s="602" t="s">
        <v>2691</v>
      </c>
      <c r="B79" s="602" t="s">
        <v>2695</v>
      </c>
      <c r="C79" s="602" t="s">
        <v>2696</v>
      </c>
      <c r="D79" s="602"/>
      <c r="E79" s="602"/>
    </row>
    <row r="80" spans="1:5">
      <c r="A80" s="602" t="s">
        <v>2691</v>
      </c>
      <c r="B80" s="602" t="s">
        <v>2697</v>
      </c>
      <c r="C80" s="602" t="s">
        <v>2698</v>
      </c>
      <c r="D80" s="602"/>
      <c r="E80" s="602"/>
    </row>
    <row r="81" spans="1:5">
      <c r="A81" s="602" t="s">
        <v>2691</v>
      </c>
      <c r="B81" s="602" t="s">
        <v>2699</v>
      </c>
      <c r="C81" s="602" t="s">
        <v>2700</v>
      </c>
      <c r="D81" s="602"/>
      <c r="E81" s="602"/>
    </row>
    <row r="82" spans="1:5">
      <c r="A82" s="602" t="s">
        <v>2691</v>
      </c>
      <c r="B82" s="602" t="s">
        <v>2701</v>
      </c>
      <c r="C82" s="602" t="s">
        <v>2702</v>
      </c>
      <c r="D82" s="602"/>
      <c r="E82" s="602"/>
    </row>
    <row r="83" spans="1:5">
      <c r="A83" s="602" t="s">
        <v>2703</v>
      </c>
      <c r="B83" s="602" t="s">
        <v>2704</v>
      </c>
      <c r="C83" s="602" t="s">
        <v>2705</v>
      </c>
      <c r="D83" s="602"/>
      <c r="E83" s="602"/>
    </row>
    <row r="84" spans="1:5">
      <c r="A84" s="602" t="s">
        <v>2703</v>
      </c>
      <c r="B84" s="602" t="s">
        <v>2706</v>
      </c>
      <c r="C84" s="602" t="s">
        <v>2707</v>
      </c>
      <c r="D84" s="602"/>
      <c r="E84" s="602"/>
    </row>
    <row r="85" spans="1:5">
      <c r="A85" s="602" t="s">
        <v>2703</v>
      </c>
      <c r="B85" s="602" t="s">
        <v>2703</v>
      </c>
      <c r="C85" s="602" t="s">
        <v>2708</v>
      </c>
      <c r="D85" s="602"/>
      <c r="E85" s="602"/>
    </row>
    <row r="86" spans="1:5">
      <c r="A86" s="602" t="s">
        <v>2703</v>
      </c>
      <c r="B86" s="602" t="s">
        <v>2709</v>
      </c>
      <c r="C86" s="602" t="s">
        <v>2710</v>
      </c>
      <c r="D86" s="602"/>
      <c r="E86" s="602"/>
    </row>
    <row r="87" spans="1:5">
      <c r="A87" s="602" t="s">
        <v>2703</v>
      </c>
      <c r="B87" s="602" t="s">
        <v>2711</v>
      </c>
      <c r="C87" s="602" t="s">
        <v>2712</v>
      </c>
      <c r="D87" s="602"/>
      <c r="E87" s="602"/>
    </row>
    <row r="88" spans="1:5">
      <c r="A88" s="602" t="s">
        <v>2703</v>
      </c>
      <c r="B88" s="602" t="s">
        <v>2713</v>
      </c>
      <c r="C88" s="602" t="s">
        <v>2714</v>
      </c>
      <c r="D88" s="602"/>
      <c r="E88" s="602"/>
    </row>
    <row r="89" spans="1:5">
      <c r="A89" s="602" t="s">
        <v>2703</v>
      </c>
      <c r="B89" s="602" t="s">
        <v>2715</v>
      </c>
      <c r="C89" s="602" t="s">
        <v>2716</v>
      </c>
      <c r="D89" s="602"/>
      <c r="E89" s="602"/>
    </row>
    <row r="90" spans="1:5">
      <c r="A90" s="602" t="s">
        <v>2717</v>
      </c>
      <c r="B90" s="602" t="s">
        <v>2718</v>
      </c>
      <c r="C90" s="602" t="s">
        <v>2719</v>
      </c>
      <c r="D90" s="602"/>
      <c r="E90" s="602"/>
    </row>
    <row r="91" spans="1:5">
      <c r="A91" s="602" t="s">
        <v>2717</v>
      </c>
      <c r="B91" s="602" t="s">
        <v>2717</v>
      </c>
      <c r="C91" s="602" t="s">
        <v>2720</v>
      </c>
      <c r="D91" s="602"/>
      <c r="E91" s="602"/>
    </row>
    <row r="92" spans="1:5">
      <c r="A92" s="602" t="s">
        <v>2717</v>
      </c>
      <c r="B92" s="602" t="s">
        <v>2721</v>
      </c>
      <c r="C92" s="602" t="s">
        <v>2722</v>
      </c>
      <c r="D92" s="602"/>
      <c r="E92" s="602"/>
    </row>
    <row r="93" spans="1:5">
      <c r="A93" s="602" t="s">
        <v>2717</v>
      </c>
      <c r="B93" s="602" t="s">
        <v>2723</v>
      </c>
      <c r="C93" s="602" t="s">
        <v>2724</v>
      </c>
      <c r="D93" s="602"/>
      <c r="E93" s="602"/>
    </row>
    <row r="94" spans="1:5">
      <c r="A94" s="602" t="s">
        <v>2717</v>
      </c>
      <c r="B94" s="602" t="s">
        <v>2725</v>
      </c>
      <c r="C94" s="602" t="s">
        <v>2726</v>
      </c>
      <c r="D94" s="602"/>
      <c r="E94" s="602"/>
    </row>
    <row r="95" spans="1:5">
      <c r="A95" s="602" t="s">
        <v>2717</v>
      </c>
      <c r="B95" s="602" t="s">
        <v>2727</v>
      </c>
      <c r="C95" s="602" t="s">
        <v>2728</v>
      </c>
      <c r="D95" s="602"/>
      <c r="E95" s="602"/>
    </row>
    <row r="96" spans="1:5">
      <c r="A96" s="602" t="s">
        <v>2717</v>
      </c>
      <c r="B96" s="602" t="s">
        <v>2729</v>
      </c>
      <c r="C96" s="602" t="s">
        <v>2730</v>
      </c>
      <c r="D96" s="602"/>
      <c r="E96" s="602"/>
    </row>
    <row r="97" spans="1:5">
      <c r="A97" s="602" t="s">
        <v>2731</v>
      </c>
      <c r="B97" s="602" t="s">
        <v>2732</v>
      </c>
      <c r="C97" s="602" t="s">
        <v>2733</v>
      </c>
      <c r="D97" s="602"/>
      <c r="E97" s="602"/>
    </row>
    <row r="98" spans="1:5">
      <c r="A98" s="602" t="s">
        <v>2731</v>
      </c>
      <c r="B98" s="602" t="s">
        <v>2734</v>
      </c>
      <c r="C98" s="602" t="s">
        <v>2735</v>
      </c>
      <c r="D98" s="602"/>
      <c r="E98" s="602"/>
    </row>
    <row r="99" spans="1:5">
      <c r="A99" s="602" t="s">
        <v>2731</v>
      </c>
      <c r="B99" s="602" t="s">
        <v>2736</v>
      </c>
      <c r="C99" s="602" t="s">
        <v>2737</v>
      </c>
      <c r="D99" s="602"/>
      <c r="E99" s="602"/>
    </row>
    <row r="100" spans="1:5">
      <c r="A100" s="602" t="s">
        <v>2731</v>
      </c>
      <c r="B100" s="602" t="s">
        <v>2738</v>
      </c>
      <c r="C100" s="602" t="s">
        <v>2739</v>
      </c>
      <c r="D100" s="602"/>
      <c r="E100" s="602"/>
    </row>
    <row r="101" spans="1:5">
      <c r="A101" s="602" t="s">
        <v>2731</v>
      </c>
      <c r="B101" s="602" t="s">
        <v>2731</v>
      </c>
      <c r="C101" s="602" t="s">
        <v>2740</v>
      </c>
      <c r="D101" s="602"/>
      <c r="E101" s="602"/>
    </row>
    <row r="102" spans="1:5">
      <c r="A102" s="602" t="s">
        <v>2731</v>
      </c>
      <c r="B102" s="602" t="s">
        <v>2741</v>
      </c>
      <c r="C102" s="602" t="s">
        <v>2742</v>
      </c>
      <c r="D102" s="602"/>
      <c r="E102" s="602"/>
    </row>
    <row r="103" spans="1:5">
      <c r="A103" s="602" t="s">
        <v>2743</v>
      </c>
      <c r="B103" s="602" t="s">
        <v>2744</v>
      </c>
      <c r="C103" s="602" t="s">
        <v>2745</v>
      </c>
      <c r="D103" s="602"/>
      <c r="E103" s="602"/>
    </row>
    <row r="104" spans="1:5">
      <c r="A104" s="602" t="s">
        <v>2743</v>
      </c>
      <c r="B104" s="602" t="s">
        <v>2746</v>
      </c>
      <c r="C104" s="602" t="s">
        <v>2747</v>
      </c>
      <c r="D104" s="602"/>
      <c r="E104" s="602"/>
    </row>
    <row r="105" spans="1:5">
      <c r="A105" s="602" t="s">
        <v>2743</v>
      </c>
      <c r="B105" s="602" t="s">
        <v>2748</v>
      </c>
      <c r="C105" s="602" t="s">
        <v>2749</v>
      </c>
      <c r="D105" s="602"/>
      <c r="E105" s="602"/>
    </row>
    <row r="106" spans="1:5">
      <c r="A106" s="602" t="s">
        <v>2743</v>
      </c>
      <c r="B106" s="602" t="s">
        <v>2743</v>
      </c>
      <c r="C106" s="602" t="s">
        <v>2750</v>
      </c>
      <c r="D106" s="602"/>
      <c r="E106" s="602"/>
    </row>
    <row r="107" spans="1:5">
      <c r="A107" s="602" t="s">
        <v>2743</v>
      </c>
      <c r="B107" s="602" t="s">
        <v>2751</v>
      </c>
      <c r="C107" s="602" t="s">
        <v>2752</v>
      </c>
      <c r="D107" s="602"/>
      <c r="E107" s="602"/>
    </row>
    <row r="108" spans="1:5">
      <c r="A108" s="602" t="s">
        <v>2743</v>
      </c>
      <c r="B108" s="602" t="s">
        <v>2753</v>
      </c>
      <c r="C108" s="602" t="s">
        <v>2754</v>
      </c>
      <c r="D108" s="602"/>
      <c r="E108" s="602"/>
    </row>
    <row r="109" spans="1:5">
      <c r="A109" s="602" t="s">
        <v>2743</v>
      </c>
      <c r="B109" s="602" t="s">
        <v>2755</v>
      </c>
      <c r="C109" s="602" t="s">
        <v>2756</v>
      </c>
      <c r="D109" s="602"/>
      <c r="E109" s="602"/>
    </row>
    <row r="110" spans="1:5">
      <c r="A110" s="602" t="s">
        <v>2757</v>
      </c>
      <c r="B110" s="602" t="s">
        <v>2758</v>
      </c>
      <c r="C110" s="602" t="s">
        <v>2759</v>
      </c>
      <c r="D110" s="602"/>
      <c r="E110" s="602"/>
    </row>
    <row r="111" spans="1:5">
      <c r="A111" s="602" t="s">
        <v>2757</v>
      </c>
      <c r="B111" s="602" t="s">
        <v>2760</v>
      </c>
      <c r="C111" s="602" t="s">
        <v>2761</v>
      </c>
      <c r="D111" s="602"/>
      <c r="E111" s="602"/>
    </row>
    <row r="112" spans="1:5">
      <c r="A112" s="602" t="s">
        <v>2757</v>
      </c>
      <c r="B112" s="602" t="s">
        <v>2762</v>
      </c>
      <c r="C112" s="602" t="s">
        <v>2763</v>
      </c>
      <c r="D112" s="602"/>
      <c r="E112" s="602"/>
    </row>
    <row r="113" spans="1:5">
      <c r="A113" s="602" t="s">
        <v>2757</v>
      </c>
      <c r="B113" s="602" t="s">
        <v>2757</v>
      </c>
      <c r="C113" s="602" t="s">
        <v>2764</v>
      </c>
      <c r="D113" s="602"/>
      <c r="E113" s="602"/>
    </row>
    <row r="114" spans="1:5">
      <c r="A114" s="602" t="s">
        <v>2757</v>
      </c>
      <c r="B114" s="602" t="s">
        <v>2765</v>
      </c>
      <c r="C114" s="602" t="s">
        <v>2766</v>
      </c>
      <c r="D114" s="602"/>
      <c r="E114" s="602"/>
    </row>
    <row r="115" spans="1:5">
      <c r="A115" s="602" t="s">
        <v>2757</v>
      </c>
      <c r="B115" s="602" t="s">
        <v>2767</v>
      </c>
      <c r="C115" s="602" t="s">
        <v>2768</v>
      </c>
      <c r="D115" s="602"/>
      <c r="E115" s="602"/>
    </row>
    <row r="116" spans="1:5">
      <c r="A116" s="602" t="s">
        <v>2769</v>
      </c>
      <c r="B116" s="602" t="s">
        <v>2770</v>
      </c>
      <c r="C116" s="602" t="s">
        <v>2771</v>
      </c>
      <c r="D116" s="602"/>
      <c r="E116" s="602"/>
    </row>
    <row r="117" spans="1:5">
      <c r="A117" s="602" t="s">
        <v>2769</v>
      </c>
      <c r="B117" s="602" t="s">
        <v>2772</v>
      </c>
      <c r="C117" s="602" t="s">
        <v>2773</v>
      </c>
      <c r="D117" s="602"/>
      <c r="E117" s="602"/>
    </row>
    <row r="118" spans="1:5">
      <c r="A118" s="602" t="s">
        <v>2769</v>
      </c>
      <c r="B118" s="602" t="s">
        <v>2774</v>
      </c>
      <c r="C118" s="602" t="s">
        <v>2775</v>
      </c>
      <c r="D118" s="602"/>
      <c r="E118" s="602"/>
    </row>
    <row r="119" spans="1:5">
      <c r="A119" s="602" t="s">
        <v>2769</v>
      </c>
      <c r="B119" s="602" t="s">
        <v>2776</v>
      </c>
      <c r="C119" s="602" t="s">
        <v>2777</v>
      </c>
      <c r="D119" s="602"/>
      <c r="E119" s="602"/>
    </row>
    <row r="120" spans="1:5">
      <c r="A120" s="602" t="s">
        <v>2769</v>
      </c>
      <c r="B120" s="602" t="s">
        <v>2778</v>
      </c>
      <c r="C120" s="602" t="s">
        <v>2779</v>
      </c>
      <c r="D120" s="602"/>
      <c r="E120" s="602"/>
    </row>
    <row r="121" spans="1:5">
      <c r="A121" s="602" t="s">
        <v>2769</v>
      </c>
      <c r="B121" s="602" t="s">
        <v>2769</v>
      </c>
      <c r="C121" s="602" t="s">
        <v>2780</v>
      </c>
      <c r="D121" s="602"/>
      <c r="E121" s="602"/>
    </row>
    <row r="122" spans="1:5">
      <c r="A122" s="602" t="s">
        <v>2769</v>
      </c>
      <c r="B122" s="602" t="s">
        <v>2781</v>
      </c>
      <c r="C122" s="602" t="s">
        <v>2782</v>
      </c>
      <c r="D122" s="602"/>
      <c r="E122" s="602"/>
    </row>
    <row r="123" spans="1:5">
      <c r="A123" s="602" t="s">
        <v>2769</v>
      </c>
      <c r="B123" s="602" t="s">
        <v>2783</v>
      </c>
      <c r="C123" s="602" t="s">
        <v>2784</v>
      </c>
      <c r="D123" s="602"/>
      <c r="E123" s="602"/>
    </row>
    <row r="124" spans="1:5">
      <c r="A124" s="602" t="s">
        <v>2785</v>
      </c>
      <c r="B124" s="602" t="s">
        <v>2786</v>
      </c>
      <c r="C124" s="602" t="s">
        <v>2787</v>
      </c>
      <c r="D124" s="602"/>
      <c r="E124" s="602"/>
    </row>
    <row r="125" spans="1:5">
      <c r="A125" s="602" t="s">
        <v>2785</v>
      </c>
      <c r="B125" s="602" t="s">
        <v>2788</v>
      </c>
      <c r="C125" s="602" t="s">
        <v>2789</v>
      </c>
      <c r="D125" s="602"/>
      <c r="E125" s="602"/>
    </row>
    <row r="126" spans="1:5">
      <c r="A126" s="602" t="s">
        <v>2785</v>
      </c>
      <c r="B126" s="602" t="s">
        <v>2790</v>
      </c>
      <c r="C126" s="602" t="s">
        <v>2791</v>
      </c>
      <c r="D126" s="602"/>
      <c r="E126" s="602"/>
    </row>
    <row r="127" spans="1:5">
      <c r="A127" s="602" t="s">
        <v>2785</v>
      </c>
      <c r="B127" s="602" t="s">
        <v>2792</v>
      </c>
      <c r="C127" s="602" t="s">
        <v>2793</v>
      </c>
      <c r="D127" s="602"/>
      <c r="E127" s="602"/>
    </row>
    <row r="128" spans="1:5">
      <c r="A128" s="602" t="s">
        <v>2785</v>
      </c>
      <c r="B128" s="602" t="s">
        <v>2785</v>
      </c>
      <c r="C128" s="602" t="s">
        <v>2794</v>
      </c>
      <c r="D128" s="602"/>
      <c r="E128" s="602"/>
    </row>
    <row r="129" spans="1:5">
      <c r="A129" s="602" t="s">
        <v>2785</v>
      </c>
      <c r="B129" s="602" t="s">
        <v>2795</v>
      </c>
      <c r="C129" s="602" t="s">
        <v>2796</v>
      </c>
      <c r="D129" s="602"/>
      <c r="E129" s="602"/>
    </row>
    <row r="130" spans="1:5">
      <c r="A130" s="602" t="s">
        <v>2785</v>
      </c>
      <c r="B130" s="602" t="s">
        <v>2797</v>
      </c>
      <c r="C130" s="602" t="s">
        <v>2798</v>
      </c>
      <c r="D130" s="602"/>
      <c r="E130" s="602"/>
    </row>
    <row r="131" spans="1:5">
      <c r="A131" s="602" t="s">
        <v>2785</v>
      </c>
      <c r="B131" s="602" t="s">
        <v>2799</v>
      </c>
      <c r="C131" s="602" t="s">
        <v>2800</v>
      </c>
      <c r="D131" s="602"/>
      <c r="E131" s="602"/>
    </row>
    <row r="132" spans="1:5">
      <c r="A132" s="602" t="s">
        <v>2801</v>
      </c>
      <c r="B132" s="602" t="s">
        <v>2802</v>
      </c>
      <c r="C132" s="602" t="s">
        <v>2803</v>
      </c>
      <c r="D132" s="602"/>
      <c r="E132" s="602"/>
    </row>
    <row r="133" spans="1:5">
      <c r="A133" s="602" t="s">
        <v>2801</v>
      </c>
      <c r="B133" s="602" t="s">
        <v>2804</v>
      </c>
      <c r="C133" s="602" t="s">
        <v>2805</v>
      </c>
      <c r="D133" s="602"/>
      <c r="E133" s="602"/>
    </row>
    <row r="134" spans="1:5">
      <c r="A134" s="602" t="s">
        <v>2801</v>
      </c>
      <c r="B134" s="602" t="s">
        <v>2806</v>
      </c>
      <c r="C134" s="602" t="s">
        <v>2807</v>
      </c>
      <c r="D134" s="602"/>
      <c r="E134" s="602"/>
    </row>
    <row r="135" spans="1:5">
      <c r="A135" s="602" t="s">
        <v>2801</v>
      </c>
      <c r="B135" s="602" t="s">
        <v>2808</v>
      </c>
      <c r="C135" s="602" t="s">
        <v>2809</v>
      </c>
      <c r="D135" s="602"/>
      <c r="E135" s="602"/>
    </row>
    <row r="136" spans="1:5">
      <c r="A136" s="602" t="s">
        <v>2801</v>
      </c>
      <c r="B136" s="602" t="s">
        <v>2801</v>
      </c>
      <c r="C136" s="602" t="s">
        <v>2810</v>
      </c>
      <c r="D136" s="602"/>
      <c r="E136" s="602"/>
    </row>
    <row r="137" spans="1:5">
      <c r="A137" s="602" t="s">
        <v>2801</v>
      </c>
      <c r="B137" s="602" t="s">
        <v>2811</v>
      </c>
      <c r="C137" s="602" t="s">
        <v>2812</v>
      </c>
      <c r="D137" s="602"/>
      <c r="E137" s="602"/>
    </row>
    <row r="138" spans="1:5">
      <c r="A138" s="602" t="s">
        <v>2801</v>
      </c>
      <c r="B138" s="602" t="s">
        <v>2813</v>
      </c>
      <c r="C138" s="602" t="s">
        <v>2814</v>
      </c>
      <c r="D138" s="602"/>
      <c r="E138" s="602"/>
    </row>
    <row r="139" spans="1:5">
      <c r="A139" s="602" t="s">
        <v>2815</v>
      </c>
      <c r="B139" s="602" t="s">
        <v>2816</v>
      </c>
      <c r="C139" s="602" t="s">
        <v>2817</v>
      </c>
      <c r="D139" s="602"/>
      <c r="E139" s="602"/>
    </row>
    <row r="140" spans="1:5">
      <c r="A140" s="602" t="s">
        <v>2815</v>
      </c>
      <c r="B140" s="602" t="s">
        <v>2818</v>
      </c>
      <c r="C140" s="602" t="s">
        <v>2819</v>
      </c>
      <c r="D140" s="602"/>
      <c r="E140" s="602"/>
    </row>
    <row r="141" spans="1:5">
      <c r="A141" s="602" t="s">
        <v>2815</v>
      </c>
      <c r="B141" s="602" t="s">
        <v>2820</v>
      </c>
      <c r="C141" s="602" t="s">
        <v>2821</v>
      </c>
      <c r="D141" s="602"/>
      <c r="E141" s="602"/>
    </row>
    <row r="142" spans="1:5">
      <c r="A142" s="602" t="s">
        <v>2815</v>
      </c>
      <c r="B142" s="602" t="s">
        <v>2822</v>
      </c>
      <c r="C142" s="602" t="s">
        <v>2823</v>
      </c>
      <c r="D142" s="602"/>
      <c r="E142" s="602"/>
    </row>
    <row r="143" spans="1:5">
      <c r="A143" s="602" t="s">
        <v>2815</v>
      </c>
      <c r="B143" s="602" t="s">
        <v>2824</v>
      </c>
      <c r="C143" s="602" t="s">
        <v>2825</v>
      </c>
      <c r="D143" s="602"/>
      <c r="E143" s="602"/>
    </row>
    <row r="144" spans="1:5">
      <c r="A144" s="602" t="s">
        <v>2815</v>
      </c>
      <c r="B144" s="602" t="s">
        <v>2815</v>
      </c>
      <c r="C144" s="602" t="s">
        <v>2826</v>
      </c>
      <c r="D144" s="602"/>
      <c r="E144" s="602"/>
    </row>
    <row r="145" spans="1:5">
      <c r="A145" s="602" t="s">
        <v>2815</v>
      </c>
      <c r="B145" s="602" t="s">
        <v>2827</v>
      </c>
      <c r="C145" s="602" t="s">
        <v>2828</v>
      </c>
      <c r="D145" s="602"/>
      <c r="E145" s="602"/>
    </row>
    <row r="146" spans="1:5">
      <c r="A146" s="602" t="s">
        <v>2829</v>
      </c>
      <c r="B146" s="602" t="s">
        <v>2830</v>
      </c>
      <c r="C146" s="602" t="s">
        <v>2831</v>
      </c>
      <c r="D146" s="602"/>
      <c r="E146" s="602"/>
    </row>
    <row r="147" spans="1:5">
      <c r="A147" s="602" t="s">
        <v>2829</v>
      </c>
      <c r="B147" s="602" t="s">
        <v>2638</v>
      </c>
      <c r="C147" s="602" t="s">
        <v>2832</v>
      </c>
      <c r="D147" s="602"/>
      <c r="E147" s="602"/>
    </row>
    <row r="148" spans="1:5">
      <c r="A148" s="602" t="s">
        <v>2829</v>
      </c>
      <c r="B148" s="602" t="s">
        <v>2833</v>
      </c>
      <c r="C148" s="602" t="s">
        <v>2834</v>
      </c>
      <c r="D148" s="602"/>
      <c r="E148" s="602"/>
    </row>
    <row r="149" spans="1:5">
      <c r="A149" s="602" t="s">
        <v>2829</v>
      </c>
      <c r="B149" s="602" t="s">
        <v>2835</v>
      </c>
      <c r="C149" s="602" t="s">
        <v>2836</v>
      </c>
      <c r="D149" s="602"/>
      <c r="E149" s="602"/>
    </row>
    <row r="150" spans="1:5">
      <c r="A150" s="602" t="s">
        <v>2829</v>
      </c>
      <c r="B150" s="602" t="s">
        <v>2837</v>
      </c>
      <c r="C150" s="602" t="s">
        <v>2838</v>
      </c>
      <c r="D150" s="602"/>
      <c r="E150" s="602"/>
    </row>
    <row r="151" spans="1:5">
      <c r="A151" s="602" t="s">
        <v>2829</v>
      </c>
      <c r="B151" s="602" t="s">
        <v>2839</v>
      </c>
      <c r="C151" s="602" t="s">
        <v>2840</v>
      </c>
      <c r="D151" s="602"/>
      <c r="E151" s="602"/>
    </row>
    <row r="152" spans="1:5">
      <c r="A152" s="602" t="s">
        <v>2829</v>
      </c>
      <c r="B152" s="602" t="s">
        <v>2841</v>
      </c>
      <c r="C152" s="602" t="s">
        <v>2842</v>
      </c>
      <c r="D152" s="602"/>
      <c r="E152" s="602"/>
    </row>
    <row r="153" spans="1:5">
      <c r="A153" s="602" t="s">
        <v>2829</v>
      </c>
      <c r="B153" s="602" t="s">
        <v>2829</v>
      </c>
      <c r="C153" s="602" t="s">
        <v>2843</v>
      </c>
      <c r="D153" s="602"/>
      <c r="E153" s="602"/>
    </row>
    <row r="154" spans="1:5">
      <c r="A154" s="602" t="s">
        <v>2829</v>
      </c>
      <c r="B154" s="602" t="s">
        <v>2844</v>
      </c>
      <c r="C154" s="602" t="s">
        <v>2845</v>
      </c>
      <c r="D154" s="602"/>
      <c r="E154" s="602"/>
    </row>
    <row r="155" spans="1:5">
      <c r="A155" s="602" t="s">
        <v>2846</v>
      </c>
      <c r="B155" s="602" t="s">
        <v>2847</v>
      </c>
      <c r="C155" s="602" t="s">
        <v>2848</v>
      </c>
      <c r="D155" s="602"/>
      <c r="E155" s="602"/>
    </row>
    <row r="156" spans="1:5">
      <c r="A156" s="602" t="s">
        <v>2846</v>
      </c>
      <c r="B156" s="602" t="s">
        <v>2849</v>
      </c>
      <c r="C156" s="602" t="s">
        <v>2850</v>
      </c>
      <c r="D156" s="602"/>
      <c r="E156" s="602"/>
    </row>
    <row r="157" spans="1:5">
      <c r="A157" s="602" t="s">
        <v>2846</v>
      </c>
      <c r="B157" s="602" t="s">
        <v>2851</v>
      </c>
      <c r="C157" s="602" t="s">
        <v>2852</v>
      </c>
      <c r="D157" s="602"/>
      <c r="E157" s="602"/>
    </row>
    <row r="158" spans="1:5">
      <c r="A158" s="602" t="s">
        <v>2846</v>
      </c>
      <c r="B158" s="602" t="s">
        <v>2853</v>
      </c>
      <c r="C158" s="602" t="s">
        <v>2854</v>
      </c>
      <c r="D158" s="602"/>
      <c r="E158" s="602"/>
    </row>
    <row r="159" spans="1:5">
      <c r="A159" s="602" t="s">
        <v>2846</v>
      </c>
      <c r="B159" s="602" t="s">
        <v>2855</v>
      </c>
      <c r="C159" s="602" t="s">
        <v>2856</v>
      </c>
      <c r="D159" s="602"/>
      <c r="E159" s="602"/>
    </row>
    <row r="160" spans="1:5">
      <c r="A160" s="602" t="s">
        <v>2846</v>
      </c>
      <c r="B160" s="602" t="s">
        <v>2857</v>
      </c>
      <c r="C160" s="602" t="s">
        <v>2858</v>
      </c>
      <c r="D160" s="602"/>
      <c r="E160" s="602"/>
    </row>
    <row r="161" spans="1:5">
      <c r="A161" s="602" t="s">
        <v>2846</v>
      </c>
      <c r="B161" s="602" t="s">
        <v>2859</v>
      </c>
      <c r="C161" s="602" t="s">
        <v>2860</v>
      </c>
      <c r="D161" s="602"/>
      <c r="E161" s="602"/>
    </row>
    <row r="162" spans="1:5">
      <c r="A162" s="602" t="s">
        <v>2846</v>
      </c>
      <c r="B162" s="602" t="s">
        <v>2861</v>
      </c>
      <c r="C162" s="602" t="s">
        <v>2862</v>
      </c>
      <c r="D162" s="602"/>
      <c r="E162" s="602"/>
    </row>
    <row r="163" spans="1:5">
      <c r="A163" s="602" t="s">
        <v>2846</v>
      </c>
      <c r="B163" s="602" t="s">
        <v>2863</v>
      </c>
      <c r="C163" s="602" t="s">
        <v>2864</v>
      </c>
      <c r="D163" s="602"/>
      <c r="E163" s="602"/>
    </row>
    <row r="164" spans="1:5">
      <c r="A164" s="602" t="s">
        <v>2846</v>
      </c>
      <c r="B164" s="602" t="s">
        <v>2846</v>
      </c>
      <c r="C164" s="602" t="s">
        <v>2865</v>
      </c>
      <c r="D164" s="602"/>
      <c r="E164" s="602"/>
    </row>
    <row r="165" spans="1:5">
      <c r="A165" s="602" t="s">
        <v>2846</v>
      </c>
      <c r="B165" s="602" t="s">
        <v>2866</v>
      </c>
      <c r="C165" s="602" t="s">
        <v>2867</v>
      </c>
      <c r="D165" s="602"/>
      <c r="E165" s="602"/>
    </row>
    <row r="166" spans="1:5">
      <c r="A166" s="602" t="s">
        <v>2868</v>
      </c>
      <c r="B166" s="602" t="s">
        <v>2868</v>
      </c>
      <c r="C166" s="602" t="s">
        <v>2869</v>
      </c>
      <c r="D166" s="602"/>
      <c r="E166" s="602"/>
    </row>
    <row r="167" spans="1:5">
      <c r="A167" s="602" t="s">
        <v>2870</v>
      </c>
      <c r="B167" s="602" t="s">
        <v>2870</v>
      </c>
      <c r="C167" s="602" t="s">
        <v>2871</v>
      </c>
      <c r="D167" s="602"/>
      <c r="E167" s="602"/>
    </row>
    <row r="168" spans="1:5">
      <c r="A168" s="602" t="s">
        <v>2872</v>
      </c>
      <c r="B168" s="602" t="s">
        <v>2872</v>
      </c>
      <c r="C168" s="602" t="s">
        <v>2873</v>
      </c>
      <c r="D168" s="602"/>
      <c r="E168" s="602"/>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5"/>
  <sheetViews>
    <sheetView showGridLines="0" zoomScaleNormal="100" workbookViewId="0"/>
  </sheetViews>
  <sheetFormatPr defaultColWidth="9.125" defaultRowHeight="11.4"/>
  <cols>
    <col min="1" max="16384" width="9.125" style="7"/>
  </cols>
  <sheetData>
    <row r="1" spans="1:10">
      <c r="A1" s="7" t="s">
        <v>284</v>
      </c>
      <c r="B1" s="7" t="s">
        <v>1720</v>
      </c>
      <c r="C1" s="7" t="s">
        <v>1721</v>
      </c>
      <c r="D1" s="7" t="s">
        <v>1722</v>
      </c>
      <c r="E1" s="7" t="s">
        <v>1723</v>
      </c>
      <c r="F1" s="7" t="s">
        <v>1724</v>
      </c>
      <c r="G1" s="7" t="s">
        <v>1725</v>
      </c>
      <c r="H1" s="7" t="s">
        <v>1726</v>
      </c>
      <c r="I1" s="7" t="s">
        <v>1727</v>
      </c>
    </row>
    <row r="2" spans="1:10">
      <c r="A2" s="7">
        <v>1</v>
      </c>
      <c r="B2" s="7" t="s">
        <v>1728</v>
      </c>
      <c r="C2" s="7" t="s">
        <v>19</v>
      </c>
      <c r="D2" s="7" t="s">
        <v>1729</v>
      </c>
      <c r="E2" s="7" t="s">
        <v>1730</v>
      </c>
      <c r="F2" s="7" t="s">
        <v>1731</v>
      </c>
      <c r="G2" s="7" t="s">
        <v>1732</v>
      </c>
      <c r="J2" s="7" t="s">
        <v>2363</v>
      </c>
    </row>
    <row r="3" spans="1:10">
      <c r="A3" s="7">
        <v>2</v>
      </c>
      <c r="B3" s="7" t="s">
        <v>1728</v>
      </c>
      <c r="C3" s="7" t="s">
        <v>19</v>
      </c>
      <c r="D3" s="7" t="s">
        <v>1733</v>
      </c>
      <c r="E3" s="7" t="s">
        <v>1734</v>
      </c>
      <c r="F3" s="7" t="s">
        <v>1735</v>
      </c>
      <c r="G3" s="7" t="s">
        <v>1736</v>
      </c>
      <c r="I3" s="7" t="s">
        <v>1737</v>
      </c>
      <c r="J3" s="7" t="s">
        <v>2363</v>
      </c>
    </row>
    <row r="4" spans="1:10">
      <c r="A4" s="7">
        <v>3</v>
      </c>
      <c r="B4" s="7" t="s">
        <v>1728</v>
      </c>
      <c r="C4" s="7" t="s">
        <v>19</v>
      </c>
      <c r="D4" s="7" t="s">
        <v>1738</v>
      </c>
      <c r="E4" s="7" t="s">
        <v>1739</v>
      </c>
      <c r="F4" s="7" t="s">
        <v>1740</v>
      </c>
      <c r="G4" s="7" t="s">
        <v>1741</v>
      </c>
      <c r="H4" s="7" t="s">
        <v>1742</v>
      </c>
      <c r="J4" s="7" t="s">
        <v>2363</v>
      </c>
    </row>
    <row r="5" spans="1:10">
      <c r="A5" s="7">
        <v>4</v>
      </c>
      <c r="B5" s="7" t="s">
        <v>1728</v>
      </c>
      <c r="C5" s="7" t="s">
        <v>19</v>
      </c>
      <c r="E5" s="7" t="s">
        <v>1743</v>
      </c>
      <c r="F5" s="7" t="s">
        <v>1744</v>
      </c>
      <c r="G5" s="7" t="s">
        <v>1745</v>
      </c>
      <c r="J5" s="7" t="s">
        <v>2363</v>
      </c>
    </row>
    <row r="6" spans="1:10">
      <c r="A6" s="7">
        <v>5</v>
      </c>
      <c r="B6" s="7" t="s">
        <v>1728</v>
      </c>
      <c r="C6" s="7" t="s">
        <v>19</v>
      </c>
      <c r="D6" s="7" t="s">
        <v>1746</v>
      </c>
      <c r="E6" s="7" t="s">
        <v>1747</v>
      </c>
      <c r="F6" s="7" t="s">
        <v>1748</v>
      </c>
      <c r="G6" s="7" t="s">
        <v>1749</v>
      </c>
      <c r="I6" s="7" t="s">
        <v>1750</v>
      </c>
      <c r="J6" s="7" t="s">
        <v>2363</v>
      </c>
    </row>
    <row r="7" spans="1:10">
      <c r="A7" s="7">
        <v>6</v>
      </c>
      <c r="B7" s="7" t="s">
        <v>1728</v>
      </c>
      <c r="C7" s="7" t="s">
        <v>19</v>
      </c>
      <c r="D7" s="7" t="s">
        <v>1751</v>
      </c>
      <c r="E7" s="7" t="s">
        <v>1752</v>
      </c>
      <c r="F7" s="7" t="s">
        <v>1748</v>
      </c>
      <c r="G7" s="7" t="s">
        <v>1753</v>
      </c>
      <c r="I7" s="7" t="s">
        <v>1737</v>
      </c>
      <c r="J7" s="7" t="s">
        <v>2363</v>
      </c>
    </row>
    <row r="8" spans="1:10">
      <c r="A8" s="7">
        <v>7</v>
      </c>
      <c r="B8" s="7" t="s">
        <v>1728</v>
      </c>
      <c r="C8" s="7" t="s">
        <v>19</v>
      </c>
      <c r="D8" s="7" t="s">
        <v>1754</v>
      </c>
      <c r="E8" s="7" t="s">
        <v>1755</v>
      </c>
      <c r="F8" s="7" t="s">
        <v>1756</v>
      </c>
      <c r="G8" s="7" t="s">
        <v>1757</v>
      </c>
      <c r="J8" s="7" t="s">
        <v>2363</v>
      </c>
    </row>
    <row r="9" spans="1:10">
      <c r="A9" s="7">
        <v>8</v>
      </c>
      <c r="B9" s="7" t="s">
        <v>1728</v>
      </c>
      <c r="C9" s="7" t="s">
        <v>19</v>
      </c>
      <c r="D9" s="7" t="s">
        <v>1758</v>
      </c>
      <c r="E9" s="7" t="s">
        <v>1759</v>
      </c>
      <c r="F9" s="7" t="s">
        <v>1760</v>
      </c>
      <c r="G9" s="7" t="s">
        <v>1761</v>
      </c>
      <c r="J9" s="7" t="s">
        <v>2363</v>
      </c>
    </row>
    <row r="10" spans="1:10">
      <c r="A10" s="7">
        <v>9</v>
      </c>
      <c r="B10" s="7" t="s">
        <v>1728</v>
      </c>
      <c r="C10" s="7" t="s">
        <v>19</v>
      </c>
      <c r="D10" s="7" t="s">
        <v>1762</v>
      </c>
      <c r="E10" s="7" t="s">
        <v>1763</v>
      </c>
      <c r="F10" s="7" t="s">
        <v>1764</v>
      </c>
      <c r="G10" s="7" t="s">
        <v>1765</v>
      </c>
      <c r="J10" s="7" t="s">
        <v>2363</v>
      </c>
    </row>
    <row r="11" spans="1:10">
      <c r="A11" s="7">
        <v>10</v>
      </c>
      <c r="B11" s="7" t="s">
        <v>1728</v>
      </c>
      <c r="C11" s="7" t="s">
        <v>19</v>
      </c>
      <c r="D11" s="7" t="s">
        <v>1766</v>
      </c>
      <c r="E11" s="7" t="s">
        <v>1767</v>
      </c>
      <c r="F11" s="7" t="s">
        <v>1768</v>
      </c>
      <c r="G11" s="7" t="s">
        <v>1749</v>
      </c>
      <c r="J11" s="7" t="s">
        <v>2363</v>
      </c>
    </row>
    <row r="12" spans="1:10">
      <c r="A12" s="7">
        <v>11</v>
      </c>
      <c r="B12" s="7" t="s">
        <v>1728</v>
      </c>
      <c r="C12" s="7" t="s">
        <v>19</v>
      </c>
      <c r="D12" s="7" t="s">
        <v>1769</v>
      </c>
      <c r="E12" s="7" t="s">
        <v>1770</v>
      </c>
      <c r="F12" s="7" t="s">
        <v>1771</v>
      </c>
      <c r="G12" s="7" t="s">
        <v>1772</v>
      </c>
      <c r="J12" s="7" t="s">
        <v>2363</v>
      </c>
    </row>
    <row r="13" spans="1:10">
      <c r="A13" s="7">
        <v>12</v>
      </c>
      <c r="B13" s="7" t="s">
        <v>1728</v>
      </c>
      <c r="C13" s="7" t="s">
        <v>19</v>
      </c>
      <c r="D13" s="7" t="s">
        <v>1773</v>
      </c>
      <c r="E13" s="7" t="s">
        <v>1774</v>
      </c>
      <c r="F13" s="7" t="s">
        <v>1775</v>
      </c>
      <c r="G13" s="7" t="s">
        <v>1745</v>
      </c>
      <c r="H13" s="7" t="s">
        <v>1776</v>
      </c>
      <c r="J13" s="7" t="s">
        <v>2363</v>
      </c>
    </row>
    <row r="14" spans="1:10">
      <c r="A14" s="7">
        <v>13</v>
      </c>
      <c r="B14" s="7" t="s">
        <v>1728</v>
      </c>
      <c r="C14" s="7" t="s">
        <v>19</v>
      </c>
      <c r="D14" s="7" t="s">
        <v>1777</v>
      </c>
      <c r="E14" s="7" t="s">
        <v>1778</v>
      </c>
      <c r="F14" s="7" t="s">
        <v>1779</v>
      </c>
      <c r="G14" s="7" t="s">
        <v>1780</v>
      </c>
      <c r="J14" s="7" t="s">
        <v>2363</v>
      </c>
    </row>
    <row r="15" spans="1:10">
      <c r="A15" s="7">
        <v>14</v>
      </c>
      <c r="B15" s="7" t="s">
        <v>1728</v>
      </c>
      <c r="C15" s="7" t="s">
        <v>19</v>
      </c>
      <c r="D15" s="7" t="s">
        <v>1781</v>
      </c>
      <c r="E15" s="7" t="s">
        <v>1782</v>
      </c>
      <c r="F15" s="7" t="s">
        <v>1783</v>
      </c>
      <c r="G15" s="7" t="s">
        <v>1745</v>
      </c>
      <c r="J15" s="7" t="s">
        <v>2363</v>
      </c>
    </row>
    <row r="16" spans="1:10">
      <c r="A16" s="7">
        <v>15</v>
      </c>
      <c r="B16" s="7" t="s">
        <v>1728</v>
      </c>
      <c r="C16" s="7" t="s">
        <v>19</v>
      </c>
      <c r="D16" s="7" t="s">
        <v>1784</v>
      </c>
      <c r="E16" s="7" t="s">
        <v>1785</v>
      </c>
      <c r="F16" s="7" t="s">
        <v>1786</v>
      </c>
      <c r="G16" s="7" t="s">
        <v>1787</v>
      </c>
      <c r="J16" s="7" t="s">
        <v>2363</v>
      </c>
    </row>
    <row r="17" spans="1:10">
      <c r="A17" s="7">
        <v>16</v>
      </c>
      <c r="B17" s="7" t="s">
        <v>1728</v>
      </c>
      <c r="C17" s="7" t="s">
        <v>19</v>
      </c>
      <c r="D17" s="7" t="s">
        <v>1788</v>
      </c>
      <c r="E17" s="7" t="s">
        <v>1789</v>
      </c>
      <c r="F17" s="7" t="s">
        <v>1790</v>
      </c>
      <c r="G17" s="7" t="s">
        <v>1791</v>
      </c>
      <c r="J17" s="7" t="s">
        <v>2363</v>
      </c>
    </row>
    <row r="18" spans="1:10">
      <c r="A18" s="7">
        <v>17</v>
      </c>
      <c r="B18" s="7" t="s">
        <v>1728</v>
      </c>
      <c r="C18" s="7" t="s">
        <v>19</v>
      </c>
      <c r="D18" s="7" t="s">
        <v>1792</v>
      </c>
      <c r="E18" s="7" t="s">
        <v>1793</v>
      </c>
      <c r="F18" s="7" t="s">
        <v>1794</v>
      </c>
      <c r="G18" s="7" t="s">
        <v>1791</v>
      </c>
      <c r="J18" s="7" t="s">
        <v>2363</v>
      </c>
    </row>
    <row r="19" spans="1:10">
      <c r="A19" s="7">
        <v>18</v>
      </c>
      <c r="B19" s="7" t="s">
        <v>1728</v>
      </c>
      <c r="C19" s="7" t="s">
        <v>19</v>
      </c>
      <c r="D19" s="7" t="s">
        <v>1795</v>
      </c>
      <c r="E19" s="7" t="s">
        <v>1796</v>
      </c>
      <c r="F19" s="7" t="s">
        <v>1797</v>
      </c>
      <c r="G19" s="7" t="s">
        <v>1798</v>
      </c>
      <c r="H19" s="7" t="s">
        <v>1799</v>
      </c>
      <c r="J19" s="7" t="s">
        <v>2363</v>
      </c>
    </row>
    <row r="20" spans="1:10">
      <c r="A20" s="7">
        <v>19</v>
      </c>
      <c r="B20" s="7" t="s">
        <v>1728</v>
      </c>
      <c r="C20" s="7" t="s">
        <v>19</v>
      </c>
      <c r="D20" s="7" t="s">
        <v>1800</v>
      </c>
      <c r="E20" s="7" t="s">
        <v>1801</v>
      </c>
      <c r="F20" s="7" t="s">
        <v>1802</v>
      </c>
      <c r="G20" s="7" t="s">
        <v>1787</v>
      </c>
      <c r="J20" s="7" t="s">
        <v>2363</v>
      </c>
    </row>
    <row r="21" spans="1:10">
      <c r="A21" s="7">
        <v>20</v>
      </c>
      <c r="B21" s="7" t="s">
        <v>1728</v>
      </c>
      <c r="C21" s="7" t="s">
        <v>19</v>
      </c>
      <c r="D21" s="7" t="s">
        <v>1803</v>
      </c>
      <c r="E21" s="7" t="s">
        <v>1804</v>
      </c>
      <c r="F21" s="7" t="s">
        <v>1805</v>
      </c>
      <c r="G21" s="7" t="s">
        <v>1806</v>
      </c>
      <c r="I21" s="7" t="s">
        <v>1807</v>
      </c>
      <c r="J21" s="7" t="s">
        <v>2363</v>
      </c>
    </row>
    <row r="22" spans="1:10">
      <c r="A22" s="7">
        <v>21</v>
      </c>
      <c r="B22" s="7" t="s">
        <v>1728</v>
      </c>
      <c r="C22" s="7" t="s">
        <v>19</v>
      </c>
      <c r="D22" s="7" t="s">
        <v>1808</v>
      </c>
      <c r="E22" s="7" t="s">
        <v>1809</v>
      </c>
      <c r="F22" s="7" t="s">
        <v>1810</v>
      </c>
      <c r="G22" s="7" t="s">
        <v>1806</v>
      </c>
      <c r="J22" s="7" t="s">
        <v>2363</v>
      </c>
    </row>
    <row r="23" spans="1:10">
      <c r="A23" s="7">
        <v>22</v>
      </c>
      <c r="B23" s="7" t="s">
        <v>1728</v>
      </c>
      <c r="C23" s="7" t="s">
        <v>19</v>
      </c>
      <c r="D23" s="7" t="s">
        <v>1811</v>
      </c>
      <c r="E23" s="7" t="s">
        <v>1812</v>
      </c>
      <c r="F23" s="7" t="s">
        <v>1813</v>
      </c>
      <c r="G23" s="7" t="s">
        <v>1806</v>
      </c>
      <c r="I23" s="7" t="s">
        <v>1814</v>
      </c>
      <c r="J23" s="7" t="s">
        <v>2363</v>
      </c>
    </row>
    <row r="24" spans="1:10">
      <c r="A24" s="7">
        <v>23</v>
      </c>
      <c r="B24" s="7" t="s">
        <v>1728</v>
      </c>
      <c r="C24" s="7" t="s">
        <v>19</v>
      </c>
      <c r="D24" s="7" t="s">
        <v>1815</v>
      </c>
      <c r="E24" s="7" t="s">
        <v>1816</v>
      </c>
      <c r="F24" s="7" t="s">
        <v>1817</v>
      </c>
      <c r="G24" s="7" t="s">
        <v>1806</v>
      </c>
      <c r="H24" s="7" t="s">
        <v>1818</v>
      </c>
      <c r="J24" s="7" t="s">
        <v>2363</v>
      </c>
    </row>
    <row r="25" spans="1:10">
      <c r="A25" s="7">
        <v>24</v>
      </c>
      <c r="B25" s="7" t="s">
        <v>1728</v>
      </c>
      <c r="C25" s="7" t="s">
        <v>19</v>
      </c>
      <c r="D25" s="7" t="s">
        <v>1819</v>
      </c>
      <c r="E25" s="7" t="s">
        <v>1820</v>
      </c>
      <c r="F25" s="7" t="s">
        <v>1821</v>
      </c>
      <c r="G25" s="7" t="s">
        <v>1806</v>
      </c>
      <c r="J25" s="7" t="s">
        <v>2363</v>
      </c>
    </row>
    <row r="26" spans="1:10">
      <c r="A26" s="7">
        <v>25</v>
      </c>
      <c r="B26" s="7" t="s">
        <v>1728</v>
      </c>
      <c r="C26" s="7" t="s">
        <v>19</v>
      </c>
      <c r="D26" s="7" t="s">
        <v>1822</v>
      </c>
      <c r="E26" s="7" t="s">
        <v>1823</v>
      </c>
      <c r="F26" s="7" t="s">
        <v>1824</v>
      </c>
      <c r="G26" s="7" t="s">
        <v>1806</v>
      </c>
      <c r="I26" s="7" t="s">
        <v>1814</v>
      </c>
      <c r="J26" s="7" t="s">
        <v>2363</v>
      </c>
    </row>
    <row r="27" spans="1:10">
      <c r="A27" s="7">
        <v>26</v>
      </c>
      <c r="B27" s="7" t="s">
        <v>1728</v>
      </c>
      <c r="C27" s="7" t="s">
        <v>19</v>
      </c>
      <c r="D27" s="7" t="s">
        <v>1825</v>
      </c>
      <c r="E27" s="7" t="s">
        <v>1826</v>
      </c>
      <c r="F27" s="7" t="s">
        <v>1827</v>
      </c>
      <c r="G27" s="7" t="s">
        <v>1828</v>
      </c>
      <c r="H27" s="7" t="s">
        <v>1829</v>
      </c>
      <c r="J27" s="7" t="s">
        <v>2363</v>
      </c>
    </row>
    <row r="28" spans="1:10">
      <c r="A28" s="7">
        <v>27</v>
      </c>
      <c r="B28" s="7" t="s">
        <v>1728</v>
      </c>
      <c r="C28" s="7" t="s">
        <v>19</v>
      </c>
      <c r="D28" s="7" t="s">
        <v>1830</v>
      </c>
      <c r="E28" s="7" t="s">
        <v>1831</v>
      </c>
      <c r="F28" s="7" t="s">
        <v>1832</v>
      </c>
      <c r="G28" s="7" t="s">
        <v>1833</v>
      </c>
      <c r="J28" s="7" t="s">
        <v>2363</v>
      </c>
    </row>
    <row r="29" spans="1:10">
      <c r="A29" s="7">
        <v>28</v>
      </c>
      <c r="B29" s="7" t="s">
        <v>1728</v>
      </c>
      <c r="C29" s="7" t="s">
        <v>19</v>
      </c>
      <c r="D29" s="7" t="s">
        <v>1834</v>
      </c>
      <c r="E29" s="7" t="s">
        <v>1835</v>
      </c>
      <c r="F29" s="7" t="s">
        <v>1836</v>
      </c>
      <c r="G29" s="7" t="s">
        <v>1837</v>
      </c>
      <c r="J29" s="7" t="s">
        <v>2363</v>
      </c>
    </row>
    <row r="30" spans="1:10">
      <c r="A30" s="7">
        <v>29</v>
      </c>
      <c r="B30" s="7" t="s">
        <v>1728</v>
      </c>
      <c r="C30" s="7" t="s">
        <v>19</v>
      </c>
      <c r="D30" s="7" t="s">
        <v>1838</v>
      </c>
      <c r="E30" s="7" t="s">
        <v>1839</v>
      </c>
      <c r="F30" s="7" t="s">
        <v>1840</v>
      </c>
      <c r="G30" s="7" t="s">
        <v>1837</v>
      </c>
      <c r="H30" s="7" t="s">
        <v>1841</v>
      </c>
      <c r="I30" s="7" t="s">
        <v>1737</v>
      </c>
      <c r="J30" s="7" t="s">
        <v>2363</v>
      </c>
    </row>
    <row r="31" spans="1:10">
      <c r="A31" s="7">
        <v>30</v>
      </c>
      <c r="B31" s="7" t="s">
        <v>1728</v>
      </c>
      <c r="C31" s="7" t="s">
        <v>19</v>
      </c>
      <c r="D31" s="7" t="s">
        <v>1842</v>
      </c>
      <c r="E31" s="7" t="s">
        <v>1843</v>
      </c>
      <c r="F31" s="7" t="s">
        <v>1836</v>
      </c>
      <c r="G31" s="7" t="s">
        <v>1844</v>
      </c>
      <c r="J31" s="7" t="s">
        <v>2363</v>
      </c>
    </row>
    <row r="32" spans="1:10">
      <c r="A32" s="7">
        <v>31</v>
      </c>
      <c r="B32" s="7" t="s">
        <v>1728</v>
      </c>
      <c r="C32" s="7" t="s">
        <v>19</v>
      </c>
      <c r="D32" s="7" t="s">
        <v>1845</v>
      </c>
      <c r="E32" s="7" t="s">
        <v>1846</v>
      </c>
      <c r="F32" s="7" t="s">
        <v>1847</v>
      </c>
      <c r="G32" s="7" t="s">
        <v>1757</v>
      </c>
      <c r="J32" s="7" t="s">
        <v>2363</v>
      </c>
    </row>
    <row r="33" spans="1:10">
      <c r="A33" s="7">
        <v>32</v>
      </c>
      <c r="B33" s="7" t="s">
        <v>1728</v>
      </c>
      <c r="C33" s="7" t="s">
        <v>19</v>
      </c>
      <c r="D33" s="7" t="s">
        <v>1848</v>
      </c>
      <c r="E33" s="7" t="s">
        <v>1849</v>
      </c>
      <c r="F33" s="7" t="s">
        <v>1850</v>
      </c>
      <c r="G33" s="7" t="s">
        <v>1791</v>
      </c>
      <c r="H33" s="7" t="s">
        <v>1829</v>
      </c>
      <c r="J33" s="7" t="s">
        <v>2363</v>
      </c>
    </row>
    <row r="34" spans="1:10">
      <c r="A34" s="7">
        <v>33</v>
      </c>
      <c r="B34" s="7" t="s">
        <v>1728</v>
      </c>
      <c r="C34" s="7" t="s">
        <v>19</v>
      </c>
      <c r="D34" s="7" t="s">
        <v>1851</v>
      </c>
      <c r="E34" s="7" t="s">
        <v>1852</v>
      </c>
      <c r="F34" s="7" t="s">
        <v>1853</v>
      </c>
      <c r="G34" s="7" t="s">
        <v>1854</v>
      </c>
      <c r="J34" s="7" t="s">
        <v>2363</v>
      </c>
    </row>
    <row r="35" spans="1:10">
      <c r="A35" s="7">
        <v>34</v>
      </c>
      <c r="B35" s="7" t="s">
        <v>1728</v>
      </c>
      <c r="C35" s="7" t="s">
        <v>19</v>
      </c>
      <c r="D35" s="7" t="s">
        <v>1855</v>
      </c>
      <c r="E35" s="7" t="s">
        <v>1856</v>
      </c>
      <c r="F35" s="7" t="s">
        <v>1857</v>
      </c>
      <c r="G35" s="7" t="s">
        <v>1736</v>
      </c>
      <c r="J35" s="7" t="s">
        <v>2363</v>
      </c>
    </row>
    <row r="36" spans="1:10">
      <c r="A36" s="7">
        <v>35</v>
      </c>
      <c r="B36" s="7" t="s">
        <v>1728</v>
      </c>
      <c r="C36" s="7" t="s">
        <v>19</v>
      </c>
      <c r="D36" s="7" t="s">
        <v>1858</v>
      </c>
      <c r="E36" s="7" t="s">
        <v>1859</v>
      </c>
      <c r="F36" s="7" t="s">
        <v>1860</v>
      </c>
      <c r="G36" s="7" t="s">
        <v>1791</v>
      </c>
      <c r="I36" s="7" t="s">
        <v>1861</v>
      </c>
      <c r="J36" s="7" t="s">
        <v>2363</v>
      </c>
    </row>
    <row r="37" spans="1:10">
      <c r="A37" s="7">
        <v>36</v>
      </c>
      <c r="B37" s="7" t="s">
        <v>1728</v>
      </c>
      <c r="C37" s="7" t="s">
        <v>19</v>
      </c>
      <c r="D37" s="7" t="s">
        <v>1862</v>
      </c>
      <c r="E37" s="7" t="s">
        <v>1863</v>
      </c>
      <c r="F37" s="7" t="s">
        <v>1864</v>
      </c>
      <c r="G37" s="7" t="s">
        <v>1791</v>
      </c>
      <c r="J37" s="7" t="s">
        <v>2363</v>
      </c>
    </row>
    <row r="38" spans="1:10">
      <c r="A38" s="7">
        <v>37</v>
      </c>
      <c r="B38" s="7" t="s">
        <v>1728</v>
      </c>
      <c r="C38" s="7" t="s">
        <v>19</v>
      </c>
      <c r="D38" s="7" t="s">
        <v>1865</v>
      </c>
      <c r="E38" s="7" t="s">
        <v>1866</v>
      </c>
      <c r="F38" s="7" t="s">
        <v>1867</v>
      </c>
      <c r="G38" s="7" t="s">
        <v>1757</v>
      </c>
      <c r="J38" s="7" t="s">
        <v>2363</v>
      </c>
    </row>
    <row r="39" spans="1:10">
      <c r="A39" s="7">
        <v>38</v>
      </c>
      <c r="B39" s="7" t="s">
        <v>1728</v>
      </c>
      <c r="C39" s="7" t="s">
        <v>19</v>
      </c>
      <c r="D39" s="7" t="s">
        <v>1868</v>
      </c>
      <c r="E39" s="7" t="s">
        <v>1869</v>
      </c>
      <c r="F39" s="7" t="s">
        <v>1870</v>
      </c>
      <c r="G39" s="7" t="s">
        <v>1854</v>
      </c>
      <c r="J39" s="7" t="s">
        <v>2363</v>
      </c>
    </row>
    <row r="40" spans="1:10">
      <c r="A40" s="7">
        <v>39</v>
      </c>
      <c r="B40" s="7" t="s">
        <v>1728</v>
      </c>
      <c r="C40" s="7" t="s">
        <v>19</v>
      </c>
      <c r="D40" s="7" t="s">
        <v>1871</v>
      </c>
      <c r="E40" s="7" t="s">
        <v>1872</v>
      </c>
      <c r="F40" s="7" t="s">
        <v>1873</v>
      </c>
      <c r="G40" s="7" t="s">
        <v>1791</v>
      </c>
      <c r="J40" s="7" t="s">
        <v>2363</v>
      </c>
    </row>
    <row r="41" spans="1:10">
      <c r="A41" s="7">
        <v>40</v>
      </c>
      <c r="B41" s="7" t="s">
        <v>1728</v>
      </c>
      <c r="C41" s="7" t="s">
        <v>19</v>
      </c>
      <c r="D41" s="7" t="s">
        <v>1874</v>
      </c>
      <c r="E41" s="7" t="s">
        <v>1875</v>
      </c>
      <c r="F41" s="7" t="s">
        <v>1876</v>
      </c>
      <c r="G41" s="7" t="s">
        <v>1877</v>
      </c>
      <c r="J41" s="7" t="s">
        <v>2363</v>
      </c>
    </row>
    <row r="42" spans="1:10">
      <c r="A42" s="7">
        <v>41</v>
      </c>
      <c r="B42" s="7" t="s">
        <v>1728</v>
      </c>
      <c r="C42" s="7" t="s">
        <v>19</v>
      </c>
      <c r="D42" s="7" t="s">
        <v>1878</v>
      </c>
      <c r="E42" s="7" t="s">
        <v>1879</v>
      </c>
      <c r="F42" s="7" t="s">
        <v>1880</v>
      </c>
      <c r="G42" s="7" t="s">
        <v>1877</v>
      </c>
      <c r="H42" s="7" t="s">
        <v>1881</v>
      </c>
      <c r="J42" s="7" t="s">
        <v>2363</v>
      </c>
    </row>
    <row r="43" spans="1:10">
      <c r="A43" s="7">
        <v>42</v>
      </c>
      <c r="B43" s="7" t="s">
        <v>1728</v>
      </c>
      <c r="C43" s="7" t="s">
        <v>19</v>
      </c>
      <c r="D43" s="7" t="s">
        <v>1882</v>
      </c>
      <c r="E43" s="7" t="s">
        <v>1883</v>
      </c>
      <c r="F43" s="7" t="s">
        <v>1884</v>
      </c>
      <c r="G43" s="7" t="s">
        <v>1741</v>
      </c>
      <c r="H43" s="7" t="s">
        <v>1885</v>
      </c>
      <c r="J43" s="7" t="s">
        <v>2363</v>
      </c>
    </row>
    <row r="44" spans="1:10">
      <c r="A44" s="7">
        <v>43</v>
      </c>
      <c r="B44" s="7" t="s">
        <v>1728</v>
      </c>
      <c r="C44" s="7" t="s">
        <v>19</v>
      </c>
      <c r="D44" s="7" t="s">
        <v>1886</v>
      </c>
      <c r="E44" s="7" t="s">
        <v>1887</v>
      </c>
      <c r="F44" s="7" t="s">
        <v>1888</v>
      </c>
      <c r="G44" s="7" t="s">
        <v>1736</v>
      </c>
      <c r="J44" s="7" t="s">
        <v>2363</v>
      </c>
    </row>
    <row r="45" spans="1:10">
      <c r="A45" s="7">
        <v>44</v>
      </c>
      <c r="B45" s="7" t="s">
        <v>1728</v>
      </c>
      <c r="C45" s="7" t="s">
        <v>19</v>
      </c>
      <c r="D45" s="7" t="s">
        <v>1889</v>
      </c>
      <c r="E45" s="7" t="s">
        <v>1890</v>
      </c>
      <c r="F45" s="7" t="s">
        <v>1891</v>
      </c>
      <c r="G45" s="7" t="s">
        <v>1854</v>
      </c>
      <c r="H45" s="7" t="s">
        <v>1892</v>
      </c>
      <c r="J45" s="7" t="s">
        <v>2363</v>
      </c>
    </row>
    <row r="46" spans="1:10">
      <c r="A46" s="7">
        <v>45</v>
      </c>
      <c r="B46" s="7" t="s">
        <v>1728</v>
      </c>
      <c r="C46" s="7" t="s">
        <v>19</v>
      </c>
      <c r="D46" s="7" t="s">
        <v>1893</v>
      </c>
      <c r="E46" s="7" t="s">
        <v>1894</v>
      </c>
      <c r="F46" s="7" t="s">
        <v>1895</v>
      </c>
      <c r="G46" s="7" t="s">
        <v>1854</v>
      </c>
      <c r="I46" s="7" t="s">
        <v>1896</v>
      </c>
      <c r="J46" s="7" t="s">
        <v>2363</v>
      </c>
    </row>
    <row r="47" spans="1:10">
      <c r="A47" s="7">
        <v>46</v>
      </c>
      <c r="B47" s="7" t="s">
        <v>1728</v>
      </c>
      <c r="C47" s="7" t="s">
        <v>19</v>
      </c>
      <c r="D47" s="7" t="s">
        <v>1897</v>
      </c>
      <c r="E47" s="7" t="s">
        <v>1898</v>
      </c>
      <c r="F47" s="7" t="s">
        <v>1899</v>
      </c>
      <c r="G47" s="7" t="s">
        <v>1854</v>
      </c>
      <c r="I47" s="7" t="s">
        <v>1900</v>
      </c>
      <c r="J47" s="7" t="s">
        <v>2363</v>
      </c>
    </row>
    <row r="48" spans="1:10">
      <c r="A48" s="7">
        <v>47</v>
      </c>
      <c r="B48" s="7" t="s">
        <v>1728</v>
      </c>
      <c r="C48" s="7" t="s">
        <v>19</v>
      </c>
      <c r="D48" s="7" t="s">
        <v>1901</v>
      </c>
      <c r="E48" s="7" t="s">
        <v>1902</v>
      </c>
      <c r="F48" s="7" t="s">
        <v>1903</v>
      </c>
      <c r="G48" s="7" t="s">
        <v>1854</v>
      </c>
      <c r="I48" s="7" t="s">
        <v>1904</v>
      </c>
      <c r="J48" s="7" t="s">
        <v>2363</v>
      </c>
    </row>
    <row r="49" spans="1:10">
      <c r="A49" s="7">
        <v>48</v>
      </c>
      <c r="B49" s="7" t="s">
        <v>1728</v>
      </c>
      <c r="C49" s="7" t="s">
        <v>19</v>
      </c>
      <c r="D49" s="7" t="s">
        <v>1905</v>
      </c>
      <c r="E49" s="7" t="s">
        <v>1906</v>
      </c>
      <c r="F49" s="7" t="s">
        <v>1907</v>
      </c>
      <c r="G49" s="7" t="s">
        <v>1854</v>
      </c>
      <c r="J49" s="7" t="s">
        <v>2363</v>
      </c>
    </row>
    <row r="50" spans="1:10">
      <c r="A50" s="7">
        <v>49</v>
      </c>
      <c r="B50" s="7" t="s">
        <v>1728</v>
      </c>
      <c r="C50" s="7" t="s">
        <v>19</v>
      </c>
      <c r="D50" s="7" t="s">
        <v>1908</v>
      </c>
      <c r="E50" s="7" t="s">
        <v>1909</v>
      </c>
      <c r="F50" s="7" t="s">
        <v>1910</v>
      </c>
      <c r="G50" s="7" t="s">
        <v>1854</v>
      </c>
      <c r="I50" s="7" t="s">
        <v>1911</v>
      </c>
      <c r="J50" s="7" t="s">
        <v>2363</v>
      </c>
    </row>
    <row r="51" spans="1:10">
      <c r="A51" s="7">
        <v>50</v>
      </c>
      <c r="B51" s="7" t="s">
        <v>1728</v>
      </c>
      <c r="C51" s="7" t="s">
        <v>19</v>
      </c>
      <c r="D51" s="7" t="s">
        <v>1912</v>
      </c>
      <c r="E51" s="7" t="s">
        <v>1909</v>
      </c>
      <c r="F51" s="7" t="s">
        <v>1913</v>
      </c>
      <c r="G51" s="7" t="s">
        <v>1854</v>
      </c>
      <c r="J51" s="7" t="s">
        <v>2363</v>
      </c>
    </row>
    <row r="52" spans="1:10">
      <c r="A52" s="7">
        <v>51</v>
      </c>
      <c r="B52" s="7" t="s">
        <v>1728</v>
      </c>
      <c r="C52" s="7" t="s">
        <v>19</v>
      </c>
      <c r="D52" s="7" t="s">
        <v>1914</v>
      </c>
      <c r="E52" s="7" t="s">
        <v>1909</v>
      </c>
      <c r="F52" s="7" t="s">
        <v>1915</v>
      </c>
      <c r="G52" s="7" t="s">
        <v>1791</v>
      </c>
      <c r="J52" s="7" t="s">
        <v>2363</v>
      </c>
    </row>
    <row r="53" spans="1:10">
      <c r="A53" s="7">
        <v>52</v>
      </c>
      <c r="B53" s="7" t="s">
        <v>1728</v>
      </c>
      <c r="C53" s="7" t="s">
        <v>19</v>
      </c>
      <c r="D53" s="7" t="s">
        <v>1916</v>
      </c>
      <c r="E53" s="7" t="s">
        <v>1917</v>
      </c>
      <c r="F53" s="7" t="s">
        <v>1918</v>
      </c>
      <c r="G53" s="7" t="s">
        <v>1791</v>
      </c>
      <c r="H53" s="7" t="s">
        <v>1919</v>
      </c>
      <c r="I53" s="7" t="s">
        <v>1920</v>
      </c>
      <c r="J53" s="7" t="s">
        <v>2363</v>
      </c>
    </row>
    <row r="54" spans="1:10">
      <c r="A54" s="7">
        <v>53</v>
      </c>
      <c r="B54" s="7" t="s">
        <v>1728</v>
      </c>
      <c r="C54" s="7" t="s">
        <v>19</v>
      </c>
      <c r="D54" s="7" t="s">
        <v>1921</v>
      </c>
      <c r="E54" s="7" t="s">
        <v>1922</v>
      </c>
      <c r="F54" s="7" t="s">
        <v>1923</v>
      </c>
      <c r="G54" s="7" t="s">
        <v>1924</v>
      </c>
      <c r="J54" s="7" t="s">
        <v>2363</v>
      </c>
    </row>
    <row r="55" spans="1:10">
      <c r="A55" s="7">
        <v>54</v>
      </c>
      <c r="B55" s="7" t="s">
        <v>1728</v>
      </c>
      <c r="C55" s="7" t="s">
        <v>19</v>
      </c>
      <c r="D55" s="7" t="s">
        <v>1925</v>
      </c>
      <c r="E55" s="7" t="s">
        <v>1926</v>
      </c>
      <c r="F55" s="7" t="s">
        <v>1927</v>
      </c>
      <c r="G55" s="7" t="s">
        <v>1877</v>
      </c>
      <c r="H55" s="7" t="s">
        <v>1928</v>
      </c>
      <c r="J55" s="7" t="s">
        <v>2363</v>
      </c>
    </row>
    <row r="56" spans="1:10">
      <c r="A56" s="7">
        <v>55</v>
      </c>
      <c r="B56" s="7" t="s">
        <v>1728</v>
      </c>
      <c r="C56" s="7" t="s">
        <v>19</v>
      </c>
      <c r="D56" s="7" t="s">
        <v>1929</v>
      </c>
      <c r="E56" s="7" t="s">
        <v>1930</v>
      </c>
      <c r="F56" s="7" t="s">
        <v>1931</v>
      </c>
      <c r="G56" s="7" t="s">
        <v>1924</v>
      </c>
      <c r="J56" s="7" t="s">
        <v>2363</v>
      </c>
    </row>
    <row r="57" spans="1:10">
      <c r="A57" s="7">
        <v>56</v>
      </c>
      <c r="B57" s="7" t="s">
        <v>1728</v>
      </c>
      <c r="C57" s="7" t="s">
        <v>19</v>
      </c>
      <c r="D57" s="7" t="s">
        <v>1932</v>
      </c>
      <c r="E57" s="7" t="s">
        <v>1933</v>
      </c>
      <c r="F57" s="7" t="s">
        <v>1934</v>
      </c>
      <c r="G57" s="7" t="s">
        <v>1854</v>
      </c>
      <c r="H57" s="7" t="s">
        <v>1935</v>
      </c>
      <c r="I57" s="7" t="s">
        <v>1936</v>
      </c>
      <c r="J57" s="7" t="s">
        <v>2363</v>
      </c>
    </row>
    <row r="58" spans="1:10">
      <c r="A58" s="7">
        <v>57</v>
      </c>
      <c r="B58" s="7" t="s">
        <v>1728</v>
      </c>
      <c r="C58" s="7" t="s">
        <v>19</v>
      </c>
      <c r="D58" s="7" t="s">
        <v>1937</v>
      </c>
      <c r="E58" s="7" t="s">
        <v>1938</v>
      </c>
      <c r="F58" s="7" t="s">
        <v>1939</v>
      </c>
      <c r="G58" s="7" t="s">
        <v>1854</v>
      </c>
      <c r="J58" s="7" t="s">
        <v>2363</v>
      </c>
    </row>
    <row r="59" spans="1:10">
      <c r="A59" s="7">
        <v>58</v>
      </c>
      <c r="B59" s="7" t="s">
        <v>1728</v>
      </c>
      <c r="C59" s="7" t="s">
        <v>19</v>
      </c>
      <c r="D59" s="7" t="s">
        <v>1940</v>
      </c>
      <c r="E59" s="7" t="s">
        <v>1941</v>
      </c>
      <c r="F59" s="7" t="s">
        <v>1942</v>
      </c>
      <c r="G59" s="7" t="s">
        <v>1854</v>
      </c>
      <c r="I59" s="7" t="s">
        <v>1943</v>
      </c>
      <c r="J59" s="7" t="s">
        <v>2363</v>
      </c>
    </row>
    <row r="60" spans="1:10">
      <c r="A60" s="7">
        <v>59</v>
      </c>
      <c r="B60" s="7" t="s">
        <v>1728</v>
      </c>
      <c r="C60" s="7" t="s">
        <v>19</v>
      </c>
      <c r="D60" s="7" t="s">
        <v>1944</v>
      </c>
      <c r="E60" s="7" t="s">
        <v>1945</v>
      </c>
      <c r="F60" s="7" t="s">
        <v>1946</v>
      </c>
      <c r="G60" s="7" t="s">
        <v>1854</v>
      </c>
      <c r="I60" s="7" t="s">
        <v>1947</v>
      </c>
      <c r="J60" s="7" t="s">
        <v>2363</v>
      </c>
    </row>
    <row r="61" spans="1:10">
      <c r="A61" s="7">
        <v>60</v>
      </c>
      <c r="B61" s="7" t="s">
        <v>1728</v>
      </c>
      <c r="C61" s="7" t="s">
        <v>19</v>
      </c>
      <c r="D61" s="7" t="s">
        <v>1948</v>
      </c>
      <c r="E61" s="7" t="s">
        <v>1949</v>
      </c>
      <c r="F61" s="7" t="s">
        <v>1950</v>
      </c>
      <c r="G61" s="7" t="s">
        <v>1854</v>
      </c>
      <c r="I61" s="7" t="s">
        <v>1951</v>
      </c>
      <c r="J61" s="7" t="s">
        <v>2363</v>
      </c>
    </row>
    <row r="62" spans="1:10">
      <c r="A62" s="7">
        <v>61</v>
      </c>
      <c r="B62" s="7" t="s">
        <v>1728</v>
      </c>
      <c r="C62" s="7" t="s">
        <v>19</v>
      </c>
      <c r="D62" s="7" t="s">
        <v>1952</v>
      </c>
      <c r="E62" s="7" t="s">
        <v>1953</v>
      </c>
      <c r="F62" s="7" t="s">
        <v>1954</v>
      </c>
      <c r="G62" s="7" t="s">
        <v>1955</v>
      </c>
      <c r="J62" s="7" t="s">
        <v>2363</v>
      </c>
    </row>
    <row r="63" spans="1:10">
      <c r="A63" s="7">
        <v>62</v>
      </c>
      <c r="B63" s="7" t="s">
        <v>1728</v>
      </c>
      <c r="C63" s="7" t="s">
        <v>19</v>
      </c>
      <c r="D63" s="7" t="s">
        <v>1956</v>
      </c>
      <c r="E63" s="7" t="s">
        <v>1957</v>
      </c>
      <c r="F63" s="7" t="s">
        <v>1958</v>
      </c>
      <c r="G63" s="7" t="s">
        <v>1798</v>
      </c>
      <c r="J63" s="7" t="s">
        <v>2363</v>
      </c>
    </row>
    <row r="64" spans="1:10">
      <c r="A64" s="7">
        <v>63</v>
      </c>
      <c r="B64" s="7" t="s">
        <v>1728</v>
      </c>
      <c r="C64" s="7" t="s">
        <v>19</v>
      </c>
      <c r="D64" s="7" t="s">
        <v>1959</v>
      </c>
      <c r="E64" s="7" t="s">
        <v>1960</v>
      </c>
      <c r="F64" s="7" t="s">
        <v>1961</v>
      </c>
      <c r="G64" s="7" t="s">
        <v>1798</v>
      </c>
      <c r="J64" s="7" t="s">
        <v>2363</v>
      </c>
    </row>
    <row r="65" spans="1:10">
      <c r="A65" s="7">
        <v>64</v>
      </c>
      <c r="B65" s="7" t="s">
        <v>1728</v>
      </c>
      <c r="C65" s="7" t="s">
        <v>19</v>
      </c>
      <c r="D65" s="7" t="s">
        <v>1962</v>
      </c>
      <c r="E65" s="7" t="s">
        <v>1963</v>
      </c>
      <c r="F65" s="7" t="s">
        <v>1964</v>
      </c>
      <c r="G65" s="7" t="s">
        <v>1854</v>
      </c>
      <c r="J65" s="7" t="s">
        <v>2363</v>
      </c>
    </row>
    <row r="66" spans="1:10">
      <c r="A66" s="7">
        <v>65</v>
      </c>
      <c r="B66" s="7" t="s">
        <v>1728</v>
      </c>
      <c r="C66" s="7" t="s">
        <v>19</v>
      </c>
      <c r="D66" s="7" t="s">
        <v>1965</v>
      </c>
      <c r="E66" s="7" t="s">
        <v>1966</v>
      </c>
      <c r="F66" s="7" t="s">
        <v>1967</v>
      </c>
      <c r="G66" s="7" t="s">
        <v>1854</v>
      </c>
      <c r="I66" s="7" t="s">
        <v>1968</v>
      </c>
      <c r="J66" s="7" t="s">
        <v>2363</v>
      </c>
    </row>
    <row r="67" spans="1:10">
      <c r="A67" s="7">
        <v>66</v>
      </c>
      <c r="B67" s="7" t="s">
        <v>1728</v>
      </c>
      <c r="C67" s="7" t="s">
        <v>19</v>
      </c>
      <c r="D67" s="7" t="s">
        <v>1969</v>
      </c>
      <c r="E67" s="7" t="s">
        <v>1970</v>
      </c>
      <c r="F67" s="7" t="s">
        <v>1971</v>
      </c>
      <c r="G67" s="7" t="s">
        <v>1798</v>
      </c>
      <c r="J67" s="7" t="s">
        <v>2363</v>
      </c>
    </row>
    <row r="68" spans="1:10">
      <c r="A68" s="7">
        <v>67</v>
      </c>
      <c r="B68" s="7" t="s">
        <v>1728</v>
      </c>
      <c r="C68" s="7" t="s">
        <v>19</v>
      </c>
      <c r="D68" s="7" t="s">
        <v>1972</v>
      </c>
      <c r="E68" s="7" t="s">
        <v>1973</v>
      </c>
      <c r="F68" s="7" t="s">
        <v>1974</v>
      </c>
      <c r="G68" s="7" t="s">
        <v>1798</v>
      </c>
      <c r="J68" s="7" t="s">
        <v>2363</v>
      </c>
    </row>
    <row r="69" spans="1:10">
      <c r="A69" s="7">
        <v>68</v>
      </c>
      <c r="B69" s="7" t="s">
        <v>1728</v>
      </c>
      <c r="C69" s="7" t="s">
        <v>19</v>
      </c>
      <c r="D69" s="7" t="s">
        <v>1975</v>
      </c>
      <c r="E69" s="7" t="s">
        <v>1973</v>
      </c>
      <c r="F69" s="7" t="s">
        <v>1976</v>
      </c>
      <c r="G69" s="7" t="s">
        <v>1854</v>
      </c>
      <c r="J69" s="7" t="s">
        <v>2363</v>
      </c>
    </row>
    <row r="70" spans="1:10">
      <c r="A70" s="7">
        <v>69</v>
      </c>
      <c r="B70" s="7" t="s">
        <v>1728</v>
      </c>
      <c r="C70" s="7" t="s">
        <v>19</v>
      </c>
      <c r="D70" s="7" t="s">
        <v>1977</v>
      </c>
      <c r="E70" s="7" t="s">
        <v>1973</v>
      </c>
      <c r="F70" s="7" t="s">
        <v>1978</v>
      </c>
      <c r="G70" s="7" t="s">
        <v>1736</v>
      </c>
      <c r="J70" s="7" t="s">
        <v>2363</v>
      </c>
    </row>
    <row r="71" spans="1:10">
      <c r="A71" s="7">
        <v>70</v>
      </c>
      <c r="B71" s="7" t="s">
        <v>1728</v>
      </c>
      <c r="C71" s="7" t="s">
        <v>19</v>
      </c>
      <c r="D71" s="7" t="s">
        <v>1979</v>
      </c>
      <c r="E71" s="7" t="s">
        <v>1980</v>
      </c>
      <c r="F71" s="7" t="s">
        <v>1981</v>
      </c>
      <c r="G71" s="7" t="s">
        <v>1798</v>
      </c>
      <c r="H71" s="7" t="s">
        <v>1982</v>
      </c>
      <c r="I71" s="7" t="s">
        <v>1983</v>
      </c>
      <c r="J71" s="7" t="s">
        <v>2363</v>
      </c>
    </row>
    <row r="72" spans="1:10">
      <c r="A72" s="7">
        <v>71</v>
      </c>
      <c r="B72" s="7" t="s">
        <v>1728</v>
      </c>
      <c r="C72" s="7" t="s">
        <v>19</v>
      </c>
      <c r="D72" s="7" t="s">
        <v>1984</v>
      </c>
      <c r="E72" s="7" t="s">
        <v>1985</v>
      </c>
      <c r="F72" s="7" t="s">
        <v>1986</v>
      </c>
      <c r="G72" s="7" t="s">
        <v>1791</v>
      </c>
      <c r="J72" s="7" t="s">
        <v>2363</v>
      </c>
    </row>
    <row r="73" spans="1:10">
      <c r="A73" s="7">
        <v>72</v>
      </c>
      <c r="B73" s="7" t="s">
        <v>1728</v>
      </c>
      <c r="C73" s="7" t="s">
        <v>19</v>
      </c>
      <c r="D73" s="7" t="s">
        <v>1987</v>
      </c>
      <c r="E73" s="7" t="s">
        <v>1988</v>
      </c>
      <c r="F73" s="7" t="s">
        <v>1989</v>
      </c>
      <c r="G73" s="7" t="s">
        <v>1955</v>
      </c>
      <c r="I73" s="7" t="s">
        <v>1990</v>
      </c>
      <c r="J73" s="7" t="s">
        <v>2363</v>
      </c>
    </row>
    <row r="74" spans="1:10">
      <c r="A74" s="7">
        <v>73</v>
      </c>
      <c r="B74" s="7" t="s">
        <v>1728</v>
      </c>
      <c r="C74" s="7" t="s">
        <v>19</v>
      </c>
      <c r="D74" s="7" t="s">
        <v>1991</v>
      </c>
      <c r="E74" s="7" t="s">
        <v>1992</v>
      </c>
      <c r="F74" s="7" t="s">
        <v>1993</v>
      </c>
      <c r="G74" s="7" t="s">
        <v>1736</v>
      </c>
      <c r="J74" s="7" t="s">
        <v>2363</v>
      </c>
    </row>
    <row r="75" spans="1:10">
      <c r="A75" s="7">
        <v>74</v>
      </c>
      <c r="B75" s="7" t="s">
        <v>1728</v>
      </c>
      <c r="C75" s="7" t="s">
        <v>19</v>
      </c>
      <c r="D75" s="7" t="s">
        <v>1994</v>
      </c>
      <c r="E75" s="7" t="s">
        <v>1995</v>
      </c>
      <c r="F75" s="7" t="s">
        <v>1996</v>
      </c>
      <c r="G75" s="7" t="s">
        <v>1798</v>
      </c>
      <c r="J75" s="7" t="s">
        <v>2363</v>
      </c>
    </row>
    <row r="76" spans="1:10">
      <c r="A76" s="7">
        <v>75</v>
      </c>
      <c r="B76" s="7" t="s">
        <v>1728</v>
      </c>
      <c r="C76" s="7" t="s">
        <v>19</v>
      </c>
      <c r="D76" s="7" t="s">
        <v>1997</v>
      </c>
      <c r="E76" s="7" t="s">
        <v>1998</v>
      </c>
      <c r="F76" s="7" t="s">
        <v>1999</v>
      </c>
      <c r="G76" s="7" t="s">
        <v>2000</v>
      </c>
      <c r="I76" s="7" t="s">
        <v>2001</v>
      </c>
      <c r="J76" s="7" t="s">
        <v>2363</v>
      </c>
    </row>
    <row r="77" spans="1:10">
      <c r="A77" s="7">
        <v>76</v>
      </c>
      <c r="B77" s="7" t="s">
        <v>1728</v>
      </c>
      <c r="C77" s="7" t="s">
        <v>19</v>
      </c>
      <c r="D77" s="7" t="s">
        <v>2002</v>
      </c>
      <c r="E77" s="7" t="s">
        <v>2003</v>
      </c>
      <c r="F77" s="7" t="s">
        <v>2004</v>
      </c>
      <c r="G77" s="7" t="s">
        <v>1854</v>
      </c>
      <c r="J77" s="7" t="s">
        <v>2363</v>
      </c>
    </row>
    <row r="78" spans="1:10">
      <c r="A78" s="7">
        <v>77</v>
      </c>
      <c r="B78" s="7" t="s">
        <v>1728</v>
      </c>
      <c r="C78" s="7" t="s">
        <v>19</v>
      </c>
      <c r="D78" s="7" t="s">
        <v>2005</v>
      </c>
      <c r="E78" s="7" t="s">
        <v>2006</v>
      </c>
      <c r="F78" s="7" t="s">
        <v>2007</v>
      </c>
      <c r="G78" s="7" t="s">
        <v>1854</v>
      </c>
      <c r="J78" s="7" t="s">
        <v>2363</v>
      </c>
    </row>
    <row r="79" spans="1:10">
      <c r="A79" s="7">
        <v>78</v>
      </c>
      <c r="B79" s="7" t="s">
        <v>1728</v>
      </c>
      <c r="C79" s="7" t="s">
        <v>19</v>
      </c>
      <c r="D79" s="7" t="s">
        <v>2008</v>
      </c>
      <c r="E79" s="7" t="s">
        <v>2009</v>
      </c>
      <c r="F79" s="7" t="s">
        <v>2010</v>
      </c>
      <c r="G79" s="7" t="s">
        <v>1877</v>
      </c>
      <c r="J79" s="7" t="s">
        <v>2363</v>
      </c>
    </row>
    <row r="80" spans="1:10">
      <c r="A80" s="7">
        <v>79</v>
      </c>
      <c r="B80" s="7" t="s">
        <v>1728</v>
      </c>
      <c r="C80" s="7" t="s">
        <v>19</v>
      </c>
      <c r="D80" s="7" t="s">
        <v>2011</v>
      </c>
      <c r="E80" s="7" t="s">
        <v>2012</v>
      </c>
      <c r="F80" s="7" t="s">
        <v>2013</v>
      </c>
      <c r="G80" s="7" t="s">
        <v>1924</v>
      </c>
      <c r="J80" s="7" t="s">
        <v>2363</v>
      </c>
    </row>
    <row r="81" spans="1:10">
      <c r="A81" s="7">
        <v>80</v>
      </c>
      <c r="B81" s="7" t="s">
        <v>1728</v>
      </c>
      <c r="C81" s="7" t="s">
        <v>19</v>
      </c>
      <c r="D81" s="7" t="s">
        <v>2014</v>
      </c>
      <c r="E81" s="7" t="s">
        <v>2015</v>
      </c>
      <c r="F81" s="7" t="s">
        <v>2016</v>
      </c>
      <c r="G81" s="7" t="s">
        <v>1854</v>
      </c>
      <c r="H81" s="7" t="s">
        <v>2017</v>
      </c>
      <c r="J81" s="7" t="s">
        <v>2363</v>
      </c>
    </row>
    <row r="82" spans="1:10">
      <c r="A82" s="7">
        <v>81</v>
      </c>
      <c r="B82" s="7" t="s">
        <v>1728</v>
      </c>
      <c r="C82" s="7" t="s">
        <v>19</v>
      </c>
      <c r="D82" s="7" t="s">
        <v>2018</v>
      </c>
      <c r="E82" s="7" t="s">
        <v>2019</v>
      </c>
      <c r="F82" s="7" t="s">
        <v>2020</v>
      </c>
      <c r="G82" s="7" t="s">
        <v>1736</v>
      </c>
      <c r="J82" s="7" t="s">
        <v>2363</v>
      </c>
    </row>
    <row r="83" spans="1:10">
      <c r="A83" s="7">
        <v>82</v>
      </c>
      <c r="B83" s="7" t="s">
        <v>1728</v>
      </c>
      <c r="C83" s="7" t="s">
        <v>19</v>
      </c>
      <c r="D83" s="7" t="s">
        <v>2021</v>
      </c>
      <c r="E83" s="7" t="s">
        <v>2022</v>
      </c>
      <c r="F83" s="7" t="s">
        <v>2023</v>
      </c>
      <c r="G83" s="7" t="s">
        <v>1791</v>
      </c>
      <c r="J83" s="7" t="s">
        <v>2363</v>
      </c>
    </row>
    <row r="84" spans="1:10">
      <c r="A84" s="7">
        <v>83</v>
      </c>
      <c r="B84" s="7" t="s">
        <v>1728</v>
      </c>
      <c r="C84" s="7" t="s">
        <v>19</v>
      </c>
      <c r="D84" s="7" t="s">
        <v>2024</v>
      </c>
      <c r="E84" s="7" t="s">
        <v>2025</v>
      </c>
      <c r="F84" s="7" t="s">
        <v>2026</v>
      </c>
      <c r="G84" s="7" t="s">
        <v>1791</v>
      </c>
      <c r="I84" s="7" t="s">
        <v>2027</v>
      </c>
      <c r="J84" s="7" t="s">
        <v>2363</v>
      </c>
    </row>
    <row r="85" spans="1:10">
      <c r="A85" s="7">
        <v>84</v>
      </c>
      <c r="B85" s="7" t="s">
        <v>1728</v>
      </c>
      <c r="C85" s="7" t="s">
        <v>19</v>
      </c>
      <c r="D85" s="7" t="s">
        <v>2028</v>
      </c>
      <c r="E85" s="7" t="s">
        <v>2029</v>
      </c>
      <c r="F85" s="7" t="s">
        <v>2030</v>
      </c>
      <c r="G85" s="7" t="s">
        <v>1798</v>
      </c>
      <c r="J85" s="7" t="s">
        <v>2363</v>
      </c>
    </row>
    <row r="86" spans="1:10">
      <c r="A86" s="7">
        <v>85</v>
      </c>
      <c r="B86" s="7" t="s">
        <v>1728</v>
      </c>
      <c r="C86" s="7" t="s">
        <v>19</v>
      </c>
      <c r="D86" s="7" t="s">
        <v>2031</v>
      </c>
      <c r="E86" s="7" t="s">
        <v>2032</v>
      </c>
      <c r="F86" s="7" t="s">
        <v>2033</v>
      </c>
      <c r="G86" s="7" t="s">
        <v>1741</v>
      </c>
      <c r="J86" s="7" t="s">
        <v>2363</v>
      </c>
    </row>
    <row r="87" spans="1:10">
      <c r="A87" s="7">
        <v>86</v>
      </c>
      <c r="B87" s="7" t="s">
        <v>1728</v>
      </c>
      <c r="C87" s="7" t="s">
        <v>19</v>
      </c>
      <c r="D87" s="7" t="s">
        <v>2034</v>
      </c>
      <c r="E87" s="7" t="s">
        <v>2035</v>
      </c>
      <c r="F87" s="7" t="s">
        <v>2036</v>
      </c>
      <c r="G87" s="7" t="s">
        <v>1757</v>
      </c>
      <c r="I87" s="7" t="s">
        <v>2037</v>
      </c>
      <c r="J87" s="7" t="s">
        <v>2363</v>
      </c>
    </row>
    <row r="88" spans="1:10">
      <c r="A88" s="7">
        <v>87</v>
      </c>
      <c r="B88" s="7" t="s">
        <v>1728</v>
      </c>
      <c r="C88" s="7" t="s">
        <v>19</v>
      </c>
      <c r="D88" s="7" t="s">
        <v>2038</v>
      </c>
      <c r="E88" s="7" t="s">
        <v>2039</v>
      </c>
      <c r="F88" s="7" t="s">
        <v>2040</v>
      </c>
      <c r="G88" s="7" t="s">
        <v>1854</v>
      </c>
      <c r="J88" s="7" t="s">
        <v>2363</v>
      </c>
    </row>
    <row r="89" spans="1:10">
      <c r="A89" s="7">
        <v>88</v>
      </c>
      <c r="B89" s="7" t="s">
        <v>1728</v>
      </c>
      <c r="C89" s="7" t="s">
        <v>19</v>
      </c>
      <c r="D89" s="7" t="s">
        <v>2041</v>
      </c>
      <c r="E89" s="7" t="s">
        <v>2042</v>
      </c>
      <c r="F89" s="7" t="s">
        <v>2043</v>
      </c>
      <c r="G89" s="7" t="s">
        <v>1854</v>
      </c>
      <c r="J89" s="7" t="s">
        <v>2363</v>
      </c>
    </row>
    <row r="90" spans="1:10">
      <c r="A90" s="7">
        <v>89</v>
      </c>
      <c r="B90" s="7" t="s">
        <v>1728</v>
      </c>
      <c r="C90" s="7" t="s">
        <v>19</v>
      </c>
      <c r="D90" s="7" t="s">
        <v>2044</v>
      </c>
      <c r="E90" s="7" t="s">
        <v>2045</v>
      </c>
      <c r="F90" s="7" t="s">
        <v>2046</v>
      </c>
      <c r="G90" s="7" t="s">
        <v>1757</v>
      </c>
      <c r="J90" s="7" t="s">
        <v>2363</v>
      </c>
    </row>
    <row r="91" spans="1:10">
      <c r="A91" s="7">
        <v>90</v>
      </c>
      <c r="B91" s="7" t="s">
        <v>1728</v>
      </c>
      <c r="C91" s="7" t="s">
        <v>19</v>
      </c>
      <c r="D91" s="7" t="s">
        <v>2047</v>
      </c>
      <c r="E91" s="7" t="s">
        <v>2048</v>
      </c>
      <c r="F91" s="7" t="s">
        <v>2049</v>
      </c>
      <c r="G91" s="7" t="s">
        <v>1854</v>
      </c>
      <c r="H91" s="7" t="s">
        <v>2050</v>
      </c>
      <c r="I91" s="7" t="s">
        <v>1943</v>
      </c>
      <c r="J91" s="7" t="s">
        <v>2363</v>
      </c>
    </row>
    <row r="92" spans="1:10">
      <c r="A92" s="7">
        <v>91</v>
      </c>
      <c r="B92" s="7" t="s">
        <v>1728</v>
      </c>
      <c r="C92" s="7" t="s">
        <v>19</v>
      </c>
      <c r="D92" s="7" t="s">
        <v>2051</v>
      </c>
      <c r="E92" s="7" t="s">
        <v>2052</v>
      </c>
      <c r="F92" s="7" t="s">
        <v>2053</v>
      </c>
      <c r="G92" s="7" t="s">
        <v>1741</v>
      </c>
      <c r="J92" s="7" t="s">
        <v>2363</v>
      </c>
    </row>
    <row r="93" spans="1:10">
      <c r="A93" s="7">
        <v>92</v>
      </c>
      <c r="B93" s="7" t="s">
        <v>1728</v>
      </c>
      <c r="C93" s="7" t="s">
        <v>19</v>
      </c>
      <c r="D93" s="7" t="s">
        <v>2054</v>
      </c>
      <c r="E93" s="7" t="s">
        <v>2055</v>
      </c>
      <c r="F93" s="7" t="s">
        <v>2056</v>
      </c>
      <c r="G93" s="7" t="s">
        <v>1955</v>
      </c>
      <c r="J93" s="7" t="s">
        <v>2363</v>
      </c>
    </row>
    <row r="94" spans="1:10">
      <c r="A94" s="7">
        <v>93</v>
      </c>
      <c r="B94" s="7" t="s">
        <v>1728</v>
      </c>
      <c r="C94" s="7" t="s">
        <v>19</v>
      </c>
      <c r="D94" s="7" t="s">
        <v>2057</v>
      </c>
      <c r="E94" s="7" t="s">
        <v>2058</v>
      </c>
      <c r="F94" s="7" t="s">
        <v>2059</v>
      </c>
      <c r="G94" s="7" t="s">
        <v>1741</v>
      </c>
      <c r="I94" s="7" t="s">
        <v>2060</v>
      </c>
      <c r="J94" s="7" t="s">
        <v>2363</v>
      </c>
    </row>
    <row r="95" spans="1:10">
      <c r="A95" s="7">
        <v>94</v>
      </c>
      <c r="B95" s="7" t="s">
        <v>1728</v>
      </c>
      <c r="C95" s="7" t="s">
        <v>19</v>
      </c>
      <c r="D95" s="7" t="s">
        <v>2061</v>
      </c>
      <c r="E95" s="7" t="s">
        <v>2062</v>
      </c>
      <c r="F95" s="7" t="s">
        <v>2063</v>
      </c>
      <c r="G95" s="7" t="s">
        <v>1854</v>
      </c>
      <c r="H95" s="7" t="s">
        <v>2064</v>
      </c>
      <c r="I95" s="7" t="s">
        <v>1943</v>
      </c>
      <c r="J95" s="7" t="s">
        <v>2363</v>
      </c>
    </row>
    <row r="96" spans="1:10">
      <c r="A96" s="7">
        <v>95</v>
      </c>
      <c r="B96" s="7" t="s">
        <v>1728</v>
      </c>
      <c r="C96" s="7" t="s">
        <v>19</v>
      </c>
      <c r="D96" s="7" t="s">
        <v>2065</v>
      </c>
      <c r="E96" s="7" t="s">
        <v>2066</v>
      </c>
      <c r="F96" s="7" t="s">
        <v>2067</v>
      </c>
      <c r="G96" s="7" t="s">
        <v>1854</v>
      </c>
      <c r="H96" s="7" t="s">
        <v>2068</v>
      </c>
      <c r="I96" s="7" t="s">
        <v>2069</v>
      </c>
      <c r="J96" s="7" t="s">
        <v>2363</v>
      </c>
    </row>
    <row r="97" spans="1:10">
      <c r="A97" s="7">
        <v>96</v>
      </c>
      <c r="B97" s="7" t="s">
        <v>1728</v>
      </c>
      <c r="C97" s="7" t="s">
        <v>19</v>
      </c>
      <c r="D97" s="7" t="s">
        <v>2070</v>
      </c>
      <c r="E97" s="7" t="s">
        <v>2071</v>
      </c>
      <c r="F97" s="7" t="s">
        <v>2072</v>
      </c>
      <c r="G97" s="7" t="s">
        <v>1741</v>
      </c>
      <c r="J97" s="7" t="s">
        <v>2363</v>
      </c>
    </row>
    <row r="98" spans="1:10">
      <c r="A98" s="7">
        <v>97</v>
      </c>
      <c r="B98" s="7" t="s">
        <v>1728</v>
      </c>
      <c r="C98" s="7" t="s">
        <v>19</v>
      </c>
      <c r="D98" s="7" t="s">
        <v>2073</v>
      </c>
      <c r="E98" s="7" t="s">
        <v>2074</v>
      </c>
      <c r="F98" s="7" t="s">
        <v>2075</v>
      </c>
      <c r="G98" s="7" t="s">
        <v>1798</v>
      </c>
      <c r="J98" s="7" t="s">
        <v>2363</v>
      </c>
    </row>
    <row r="99" spans="1:10">
      <c r="A99" s="7">
        <v>98</v>
      </c>
      <c r="B99" s="7" t="s">
        <v>1728</v>
      </c>
      <c r="C99" s="7" t="s">
        <v>19</v>
      </c>
      <c r="D99" s="7" t="s">
        <v>2076</v>
      </c>
      <c r="E99" s="7" t="s">
        <v>2077</v>
      </c>
      <c r="F99" s="7" t="s">
        <v>2078</v>
      </c>
      <c r="G99" s="7" t="s">
        <v>1736</v>
      </c>
      <c r="I99" s="7" t="s">
        <v>2079</v>
      </c>
      <c r="J99" s="7" t="s">
        <v>2363</v>
      </c>
    </row>
    <row r="100" spans="1:10">
      <c r="A100" s="7">
        <v>99</v>
      </c>
      <c r="B100" s="7" t="s">
        <v>1728</v>
      </c>
      <c r="C100" s="7" t="s">
        <v>19</v>
      </c>
      <c r="D100" s="7" t="s">
        <v>2080</v>
      </c>
      <c r="E100" s="7" t="s">
        <v>2081</v>
      </c>
      <c r="F100" s="7" t="s">
        <v>2082</v>
      </c>
      <c r="G100" s="7" t="s">
        <v>1877</v>
      </c>
      <c r="J100" s="7" t="s">
        <v>2363</v>
      </c>
    </row>
    <row r="101" spans="1:10">
      <c r="A101" s="7">
        <v>100</v>
      </c>
      <c r="B101" s="7" t="s">
        <v>1728</v>
      </c>
      <c r="C101" s="7" t="s">
        <v>19</v>
      </c>
      <c r="D101" s="7" t="s">
        <v>2083</v>
      </c>
      <c r="E101" s="7" t="s">
        <v>2084</v>
      </c>
      <c r="F101" s="7" t="s">
        <v>2085</v>
      </c>
      <c r="G101" s="7" t="s">
        <v>2086</v>
      </c>
      <c r="J101" s="7" t="s">
        <v>2363</v>
      </c>
    </row>
    <row r="102" spans="1:10">
      <c r="A102" s="7">
        <v>101</v>
      </c>
      <c r="B102" s="7" t="s">
        <v>1728</v>
      </c>
      <c r="C102" s="7" t="s">
        <v>19</v>
      </c>
      <c r="D102" s="7" t="s">
        <v>2087</v>
      </c>
      <c r="E102" s="7" t="s">
        <v>2088</v>
      </c>
      <c r="F102" s="7" t="s">
        <v>2089</v>
      </c>
      <c r="G102" s="7" t="s">
        <v>1791</v>
      </c>
      <c r="J102" s="7" t="s">
        <v>2363</v>
      </c>
    </row>
    <row r="103" spans="1:10">
      <c r="A103" s="7">
        <v>102</v>
      </c>
      <c r="B103" s="7" t="s">
        <v>1728</v>
      </c>
      <c r="C103" s="7" t="s">
        <v>19</v>
      </c>
      <c r="D103" s="7" t="s">
        <v>2090</v>
      </c>
      <c r="E103" s="7" t="s">
        <v>2091</v>
      </c>
      <c r="F103" s="7" t="s">
        <v>2092</v>
      </c>
      <c r="G103" s="7" t="s">
        <v>2000</v>
      </c>
      <c r="J103" s="7" t="s">
        <v>2363</v>
      </c>
    </row>
    <row r="104" spans="1:10">
      <c r="A104" s="7">
        <v>103</v>
      </c>
      <c r="B104" s="7" t="s">
        <v>1728</v>
      </c>
      <c r="C104" s="7" t="s">
        <v>19</v>
      </c>
      <c r="D104" s="7" t="s">
        <v>2093</v>
      </c>
      <c r="E104" s="7" t="s">
        <v>2094</v>
      </c>
      <c r="F104" s="7" t="s">
        <v>2095</v>
      </c>
      <c r="G104" s="7" t="s">
        <v>1757</v>
      </c>
      <c r="J104" s="7" t="s">
        <v>2363</v>
      </c>
    </row>
    <row r="105" spans="1:10">
      <c r="A105" s="7">
        <v>104</v>
      </c>
      <c r="B105" s="7" t="s">
        <v>1728</v>
      </c>
      <c r="C105" s="7" t="s">
        <v>19</v>
      </c>
      <c r="D105" s="7" t="s">
        <v>2096</v>
      </c>
      <c r="E105" s="7" t="s">
        <v>2097</v>
      </c>
      <c r="F105" s="7" t="s">
        <v>2098</v>
      </c>
      <c r="G105" s="7" t="s">
        <v>1791</v>
      </c>
      <c r="H105" s="7" t="s">
        <v>2099</v>
      </c>
      <c r="I105" s="7" t="s">
        <v>2100</v>
      </c>
      <c r="J105" s="7" t="s">
        <v>2363</v>
      </c>
    </row>
    <row r="106" spans="1:10">
      <c r="A106" s="7">
        <v>105</v>
      </c>
      <c r="B106" s="7" t="s">
        <v>1728</v>
      </c>
      <c r="C106" s="7" t="s">
        <v>19</v>
      </c>
      <c r="D106" s="7" t="s">
        <v>2101</v>
      </c>
      <c r="E106" s="7" t="s">
        <v>2102</v>
      </c>
      <c r="F106" s="7" t="s">
        <v>2103</v>
      </c>
      <c r="G106" s="7" t="s">
        <v>1798</v>
      </c>
      <c r="J106" s="7" t="s">
        <v>2363</v>
      </c>
    </row>
    <row r="107" spans="1:10">
      <c r="A107" s="7">
        <v>106</v>
      </c>
      <c r="B107" s="7" t="s">
        <v>1728</v>
      </c>
      <c r="C107" s="7" t="s">
        <v>19</v>
      </c>
      <c r="D107" s="7" t="s">
        <v>2104</v>
      </c>
      <c r="E107" s="7" t="s">
        <v>2105</v>
      </c>
      <c r="F107" s="7" t="s">
        <v>2106</v>
      </c>
      <c r="G107" s="7" t="s">
        <v>1745</v>
      </c>
      <c r="I107" s="7" t="s">
        <v>2107</v>
      </c>
      <c r="J107" s="7" t="s">
        <v>2363</v>
      </c>
    </row>
    <row r="108" spans="1:10">
      <c r="A108" s="7">
        <v>107</v>
      </c>
      <c r="B108" s="7" t="s">
        <v>1728</v>
      </c>
      <c r="C108" s="7" t="s">
        <v>19</v>
      </c>
      <c r="D108" s="7" t="s">
        <v>2108</v>
      </c>
      <c r="E108" s="7" t="s">
        <v>2109</v>
      </c>
      <c r="F108" s="7" t="s">
        <v>2110</v>
      </c>
      <c r="G108" s="7" t="s">
        <v>1854</v>
      </c>
      <c r="I108" s="7" t="s">
        <v>2111</v>
      </c>
      <c r="J108" s="7" t="s">
        <v>2363</v>
      </c>
    </row>
    <row r="109" spans="1:10">
      <c r="A109" s="7">
        <v>108</v>
      </c>
      <c r="B109" s="7" t="s">
        <v>1728</v>
      </c>
      <c r="C109" s="7" t="s">
        <v>19</v>
      </c>
      <c r="D109" s="7" t="s">
        <v>2112</v>
      </c>
      <c r="E109" s="7" t="s">
        <v>2113</v>
      </c>
      <c r="F109" s="7" t="s">
        <v>2114</v>
      </c>
      <c r="G109" s="7" t="s">
        <v>2115</v>
      </c>
      <c r="H109" s="7" t="s">
        <v>2116</v>
      </c>
      <c r="I109" s="7" t="s">
        <v>1896</v>
      </c>
      <c r="J109" s="7" t="s">
        <v>2363</v>
      </c>
    </row>
    <row r="110" spans="1:10">
      <c r="A110" s="7">
        <v>109</v>
      </c>
      <c r="B110" s="7" t="s">
        <v>1728</v>
      </c>
      <c r="C110" s="7" t="s">
        <v>19</v>
      </c>
      <c r="D110" s="7" t="s">
        <v>2117</v>
      </c>
      <c r="E110" s="7" t="s">
        <v>2113</v>
      </c>
      <c r="F110" s="7" t="s">
        <v>2118</v>
      </c>
      <c r="G110" s="7" t="s">
        <v>1798</v>
      </c>
      <c r="J110" s="7" t="s">
        <v>2363</v>
      </c>
    </row>
    <row r="111" spans="1:10">
      <c r="A111" s="7">
        <v>110</v>
      </c>
      <c r="B111" s="7" t="s">
        <v>1728</v>
      </c>
      <c r="C111" s="7" t="s">
        <v>19</v>
      </c>
      <c r="D111" s="7" t="s">
        <v>2119</v>
      </c>
      <c r="E111" s="7" t="s">
        <v>2120</v>
      </c>
      <c r="F111" s="7" t="s">
        <v>2121</v>
      </c>
      <c r="G111" s="7" t="s">
        <v>1757</v>
      </c>
      <c r="I111" s="7" t="s">
        <v>1900</v>
      </c>
      <c r="J111" s="7" t="s">
        <v>2363</v>
      </c>
    </row>
    <row r="112" spans="1:10">
      <c r="A112" s="7">
        <v>111</v>
      </c>
      <c r="B112" s="7" t="s">
        <v>1728</v>
      </c>
      <c r="C112" s="7" t="s">
        <v>19</v>
      </c>
      <c r="D112" s="7" t="s">
        <v>2122</v>
      </c>
      <c r="E112" s="7" t="s">
        <v>2123</v>
      </c>
      <c r="F112" s="7" t="s">
        <v>2124</v>
      </c>
      <c r="G112" s="7" t="s">
        <v>2125</v>
      </c>
      <c r="J112" s="7" t="s">
        <v>2363</v>
      </c>
    </row>
    <row r="113" spans="1:10">
      <c r="A113" s="7">
        <v>112</v>
      </c>
      <c r="B113" s="7" t="s">
        <v>1728</v>
      </c>
      <c r="C113" s="7" t="s">
        <v>19</v>
      </c>
      <c r="D113" s="7" t="s">
        <v>2126</v>
      </c>
      <c r="E113" s="7" t="s">
        <v>2127</v>
      </c>
      <c r="F113" s="7" t="s">
        <v>2128</v>
      </c>
      <c r="G113" s="7" t="s">
        <v>1791</v>
      </c>
      <c r="J113" s="7" t="s">
        <v>2363</v>
      </c>
    </row>
    <row r="114" spans="1:10">
      <c r="A114" s="7">
        <v>113</v>
      </c>
      <c r="B114" s="7" t="s">
        <v>1728</v>
      </c>
      <c r="C114" s="7" t="s">
        <v>19</v>
      </c>
      <c r="D114" s="7" t="s">
        <v>2129</v>
      </c>
      <c r="E114" s="7" t="s">
        <v>2130</v>
      </c>
      <c r="F114" s="7" t="s">
        <v>2131</v>
      </c>
      <c r="G114" s="7" t="s">
        <v>1854</v>
      </c>
      <c r="I114" s="7" t="s">
        <v>2132</v>
      </c>
      <c r="J114" s="7" t="s">
        <v>2363</v>
      </c>
    </row>
    <row r="115" spans="1:10">
      <c r="A115" s="7">
        <v>114</v>
      </c>
      <c r="B115" s="7" t="s">
        <v>1728</v>
      </c>
      <c r="C115" s="7" t="s">
        <v>19</v>
      </c>
      <c r="D115" s="7" t="s">
        <v>2133</v>
      </c>
      <c r="E115" s="7" t="s">
        <v>2134</v>
      </c>
      <c r="F115" s="7" t="s">
        <v>2135</v>
      </c>
      <c r="G115" s="7" t="s">
        <v>1854</v>
      </c>
      <c r="I115" s="7" t="s">
        <v>2136</v>
      </c>
      <c r="J115" s="7" t="s">
        <v>2363</v>
      </c>
    </row>
    <row r="116" spans="1:10">
      <c r="A116" s="7">
        <v>115</v>
      </c>
      <c r="B116" s="7" t="s">
        <v>1728</v>
      </c>
      <c r="C116" s="7" t="s">
        <v>19</v>
      </c>
      <c r="D116" s="7" t="s">
        <v>2137</v>
      </c>
      <c r="E116" s="7" t="s">
        <v>2138</v>
      </c>
      <c r="F116" s="7" t="s">
        <v>2139</v>
      </c>
      <c r="G116" s="7" t="s">
        <v>1828</v>
      </c>
      <c r="J116" s="7" t="s">
        <v>2363</v>
      </c>
    </row>
    <row r="117" spans="1:10">
      <c r="A117" s="7">
        <v>116</v>
      </c>
      <c r="B117" s="7" t="s">
        <v>1728</v>
      </c>
      <c r="C117" s="7" t="s">
        <v>19</v>
      </c>
      <c r="D117" s="7" t="s">
        <v>2140</v>
      </c>
      <c r="E117" s="7" t="s">
        <v>2141</v>
      </c>
      <c r="F117" s="7" t="s">
        <v>2142</v>
      </c>
      <c r="G117" s="7" t="s">
        <v>1741</v>
      </c>
      <c r="I117" s="7" t="s">
        <v>2143</v>
      </c>
      <c r="J117" s="7" t="s">
        <v>2363</v>
      </c>
    </row>
    <row r="118" spans="1:10">
      <c r="A118" s="7">
        <v>117</v>
      </c>
      <c r="B118" s="7" t="s">
        <v>1728</v>
      </c>
      <c r="C118" s="7" t="s">
        <v>19</v>
      </c>
      <c r="D118" s="7" t="s">
        <v>2144</v>
      </c>
      <c r="E118" s="7" t="s">
        <v>2145</v>
      </c>
      <c r="F118" s="7" t="s">
        <v>2146</v>
      </c>
      <c r="G118" s="7" t="s">
        <v>1757</v>
      </c>
      <c r="H118" s="7" t="s">
        <v>2147</v>
      </c>
      <c r="J118" s="7" t="s">
        <v>2363</v>
      </c>
    </row>
    <row r="119" spans="1:10">
      <c r="A119" s="7">
        <v>118</v>
      </c>
      <c r="B119" s="7" t="s">
        <v>1728</v>
      </c>
      <c r="C119" s="7" t="s">
        <v>19</v>
      </c>
      <c r="D119" s="7" t="s">
        <v>2148</v>
      </c>
      <c r="E119" s="7" t="s">
        <v>2149</v>
      </c>
      <c r="F119" s="7" t="s">
        <v>2150</v>
      </c>
      <c r="G119" s="7" t="s">
        <v>1741</v>
      </c>
      <c r="H119" s="7" t="s">
        <v>2151</v>
      </c>
      <c r="J119" s="7" t="s">
        <v>2363</v>
      </c>
    </row>
    <row r="120" spans="1:10">
      <c r="A120" s="7">
        <v>119</v>
      </c>
      <c r="B120" s="7" t="s">
        <v>1728</v>
      </c>
      <c r="C120" s="7" t="s">
        <v>19</v>
      </c>
      <c r="D120" s="7" t="s">
        <v>2152</v>
      </c>
      <c r="E120" s="7" t="s">
        <v>2153</v>
      </c>
      <c r="F120" s="7" t="s">
        <v>2154</v>
      </c>
      <c r="G120" s="7" t="s">
        <v>1791</v>
      </c>
      <c r="H120" s="7" t="s">
        <v>2155</v>
      </c>
      <c r="I120" s="7" t="s">
        <v>2156</v>
      </c>
      <c r="J120" s="7" t="s">
        <v>2363</v>
      </c>
    </row>
    <row r="121" spans="1:10">
      <c r="A121" s="7">
        <v>120</v>
      </c>
      <c r="B121" s="7" t="s">
        <v>1728</v>
      </c>
      <c r="C121" s="7" t="s">
        <v>19</v>
      </c>
      <c r="D121" s="7" t="s">
        <v>2157</v>
      </c>
      <c r="E121" s="7" t="s">
        <v>2153</v>
      </c>
      <c r="F121" s="7" t="s">
        <v>2158</v>
      </c>
      <c r="G121" s="7" t="s">
        <v>1791</v>
      </c>
      <c r="J121" s="7" t="s">
        <v>2363</v>
      </c>
    </row>
    <row r="122" spans="1:10">
      <c r="A122" s="7">
        <v>121</v>
      </c>
      <c r="B122" s="7" t="s">
        <v>1728</v>
      </c>
      <c r="C122" s="7" t="s">
        <v>19</v>
      </c>
      <c r="D122" s="7" t="s">
        <v>2159</v>
      </c>
      <c r="E122" s="7" t="s">
        <v>2153</v>
      </c>
      <c r="F122" s="7" t="s">
        <v>2160</v>
      </c>
      <c r="G122" s="7" t="s">
        <v>1745</v>
      </c>
      <c r="J122" s="7" t="s">
        <v>2363</v>
      </c>
    </row>
    <row r="123" spans="1:10">
      <c r="A123" s="7">
        <v>122</v>
      </c>
      <c r="B123" s="7" t="s">
        <v>1728</v>
      </c>
      <c r="C123" s="7" t="s">
        <v>19</v>
      </c>
      <c r="D123" s="7" t="s">
        <v>2161</v>
      </c>
      <c r="E123" s="7" t="s">
        <v>2162</v>
      </c>
      <c r="F123" s="7" t="s">
        <v>2163</v>
      </c>
      <c r="G123" s="7" t="s">
        <v>1791</v>
      </c>
      <c r="J123" s="7" t="s">
        <v>2363</v>
      </c>
    </row>
    <row r="124" spans="1:10">
      <c r="A124" s="7">
        <v>123</v>
      </c>
      <c r="B124" s="7" t="s">
        <v>1728</v>
      </c>
      <c r="C124" s="7" t="s">
        <v>19</v>
      </c>
      <c r="D124" s="7" t="s">
        <v>2164</v>
      </c>
      <c r="E124" s="7" t="s">
        <v>2165</v>
      </c>
      <c r="F124" s="7" t="s">
        <v>2166</v>
      </c>
      <c r="G124" s="7" t="s">
        <v>1736</v>
      </c>
      <c r="I124" s="7" t="s">
        <v>2167</v>
      </c>
      <c r="J124" s="7" t="s">
        <v>2363</v>
      </c>
    </row>
    <row r="125" spans="1:10">
      <c r="A125" s="7">
        <v>124</v>
      </c>
      <c r="B125" s="7" t="s">
        <v>1728</v>
      </c>
      <c r="C125" s="7" t="s">
        <v>19</v>
      </c>
      <c r="D125" s="7" t="s">
        <v>2168</v>
      </c>
      <c r="E125" s="7" t="s">
        <v>2169</v>
      </c>
      <c r="F125" s="7" t="s">
        <v>2170</v>
      </c>
      <c r="G125" s="7" t="s">
        <v>1854</v>
      </c>
      <c r="J125" s="7" t="s">
        <v>2363</v>
      </c>
    </row>
    <row r="126" spans="1:10">
      <c r="A126" s="7">
        <v>125</v>
      </c>
      <c r="B126" s="7" t="s">
        <v>1728</v>
      </c>
      <c r="C126" s="7" t="s">
        <v>19</v>
      </c>
      <c r="D126" s="7" t="s">
        <v>2171</v>
      </c>
      <c r="E126" s="7" t="s">
        <v>2172</v>
      </c>
      <c r="F126" s="7" t="s">
        <v>2173</v>
      </c>
      <c r="G126" s="7" t="s">
        <v>1798</v>
      </c>
      <c r="J126" s="7" t="s">
        <v>2363</v>
      </c>
    </row>
    <row r="127" spans="1:10">
      <c r="A127" s="7">
        <v>126</v>
      </c>
      <c r="B127" s="7" t="s">
        <v>1728</v>
      </c>
      <c r="C127" s="7" t="s">
        <v>19</v>
      </c>
      <c r="D127" s="7" t="s">
        <v>2174</v>
      </c>
      <c r="E127" s="7" t="s">
        <v>2175</v>
      </c>
      <c r="F127" s="7" t="s">
        <v>2176</v>
      </c>
      <c r="G127" s="7" t="s">
        <v>1757</v>
      </c>
      <c r="H127" s="7" t="s">
        <v>2177</v>
      </c>
      <c r="J127" s="7" t="s">
        <v>2363</v>
      </c>
    </row>
    <row r="128" spans="1:10">
      <c r="A128" s="7">
        <v>127</v>
      </c>
      <c r="B128" s="7" t="s">
        <v>1728</v>
      </c>
      <c r="C128" s="7" t="s">
        <v>19</v>
      </c>
      <c r="D128" s="7" t="s">
        <v>2178</v>
      </c>
      <c r="E128" s="7" t="s">
        <v>2179</v>
      </c>
      <c r="F128" s="7" t="s">
        <v>2180</v>
      </c>
      <c r="G128" s="7" t="s">
        <v>1757</v>
      </c>
      <c r="I128" s="7" t="s">
        <v>2079</v>
      </c>
      <c r="J128" s="7" t="s">
        <v>2363</v>
      </c>
    </row>
    <row r="129" spans="1:10">
      <c r="A129" s="7">
        <v>128</v>
      </c>
      <c r="B129" s="7" t="s">
        <v>1728</v>
      </c>
      <c r="C129" s="7" t="s">
        <v>19</v>
      </c>
      <c r="D129" s="7" t="s">
        <v>2181</v>
      </c>
      <c r="E129" s="7" t="s">
        <v>2179</v>
      </c>
      <c r="F129" s="7" t="s">
        <v>2182</v>
      </c>
      <c r="G129" s="7" t="s">
        <v>1741</v>
      </c>
      <c r="H129" s="7" t="s">
        <v>2183</v>
      </c>
      <c r="J129" s="7" t="s">
        <v>2363</v>
      </c>
    </row>
    <row r="130" spans="1:10">
      <c r="A130" s="7">
        <v>129</v>
      </c>
      <c r="B130" s="7" t="s">
        <v>1728</v>
      </c>
      <c r="C130" s="7" t="s">
        <v>19</v>
      </c>
      <c r="D130" s="7" t="s">
        <v>2184</v>
      </c>
      <c r="E130" s="7" t="s">
        <v>2185</v>
      </c>
      <c r="F130" s="7" t="s">
        <v>2186</v>
      </c>
      <c r="G130" s="7" t="s">
        <v>1736</v>
      </c>
      <c r="H130" s="7" t="s">
        <v>2187</v>
      </c>
      <c r="J130" s="7" t="s">
        <v>2363</v>
      </c>
    </row>
    <row r="131" spans="1:10">
      <c r="A131" s="7">
        <v>130</v>
      </c>
      <c r="B131" s="7" t="s">
        <v>1728</v>
      </c>
      <c r="C131" s="7" t="s">
        <v>19</v>
      </c>
      <c r="D131" s="7" t="s">
        <v>2188</v>
      </c>
      <c r="E131" s="7" t="s">
        <v>2185</v>
      </c>
      <c r="F131" s="7" t="s">
        <v>2189</v>
      </c>
      <c r="G131" s="7" t="s">
        <v>2000</v>
      </c>
      <c r="J131" s="7" t="s">
        <v>2363</v>
      </c>
    </row>
    <row r="132" spans="1:10">
      <c r="A132" s="7">
        <v>131</v>
      </c>
      <c r="B132" s="7" t="s">
        <v>1728</v>
      </c>
      <c r="C132" s="7" t="s">
        <v>19</v>
      </c>
      <c r="D132" s="7" t="s">
        <v>2190</v>
      </c>
      <c r="E132" s="7" t="s">
        <v>2191</v>
      </c>
      <c r="F132" s="7" t="s">
        <v>2192</v>
      </c>
      <c r="G132" s="7" t="s">
        <v>1798</v>
      </c>
      <c r="J132" s="7" t="s">
        <v>2363</v>
      </c>
    </row>
    <row r="133" spans="1:10">
      <c r="A133" s="7">
        <v>132</v>
      </c>
      <c r="B133" s="7" t="s">
        <v>1728</v>
      </c>
      <c r="C133" s="7" t="s">
        <v>19</v>
      </c>
      <c r="D133" s="7" t="s">
        <v>2193</v>
      </c>
      <c r="E133" s="7" t="s">
        <v>2194</v>
      </c>
      <c r="F133" s="7" t="s">
        <v>2195</v>
      </c>
      <c r="G133" s="7" t="s">
        <v>1757</v>
      </c>
      <c r="J133" s="7" t="s">
        <v>2363</v>
      </c>
    </row>
    <row r="134" spans="1:10">
      <c r="A134" s="7">
        <v>133</v>
      </c>
      <c r="B134" s="7" t="s">
        <v>1728</v>
      </c>
      <c r="C134" s="7" t="s">
        <v>19</v>
      </c>
      <c r="D134" s="7" t="s">
        <v>2196</v>
      </c>
      <c r="E134" s="7" t="s">
        <v>2197</v>
      </c>
      <c r="F134" s="7" t="s">
        <v>2198</v>
      </c>
      <c r="G134" s="7" t="s">
        <v>1749</v>
      </c>
      <c r="J134" s="7" t="s">
        <v>2363</v>
      </c>
    </row>
    <row r="135" spans="1:10">
      <c r="A135" s="7">
        <v>134</v>
      </c>
      <c r="B135" s="7" t="s">
        <v>1728</v>
      </c>
      <c r="C135" s="7" t="s">
        <v>19</v>
      </c>
      <c r="D135" s="7" t="s">
        <v>2199</v>
      </c>
      <c r="E135" s="7" t="s">
        <v>2200</v>
      </c>
      <c r="F135" s="7" t="s">
        <v>2201</v>
      </c>
      <c r="G135" s="7" t="s">
        <v>1791</v>
      </c>
      <c r="I135" s="7" t="s">
        <v>2202</v>
      </c>
      <c r="J135" s="7" t="s">
        <v>2363</v>
      </c>
    </row>
    <row r="136" spans="1:10">
      <c r="A136" s="7">
        <v>135</v>
      </c>
      <c r="B136" s="7" t="s">
        <v>1728</v>
      </c>
      <c r="C136" s="7" t="s">
        <v>19</v>
      </c>
      <c r="D136" s="7" t="s">
        <v>2203</v>
      </c>
      <c r="E136" s="7" t="s">
        <v>2204</v>
      </c>
      <c r="F136" s="7" t="s">
        <v>2205</v>
      </c>
      <c r="G136" s="7" t="s">
        <v>1791</v>
      </c>
      <c r="J136" s="7" t="s">
        <v>2363</v>
      </c>
    </row>
    <row r="137" spans="1:10">
      <c r="A137" s="7">
        <v>136</v>
      </c>
      <c r="B137" s="7" t="s">
        <v>1728</v>
      </c>
      <c r="C137" s="7" t="s">
        <v>19</v>
      </c>
      <c r="D137" s="7" t="s">
        <v>2206</v>
      </c>
      <c r="E137" s="7" t="s">
        <v>2207</v>
      </c>
      <c r="F137" s="7" t="s">
        <v>2208</v>
      </c>
      <c r="G137" s="7" t="s">
        <v>2209</v>
      </c>
      <c r="J137" s="7" t="s">
        <v>2363</v>
      </c>
    </row>
    <row r="138" spans="1:10">
      <c r="A138" s="7">
        <v>137</v>
      </c>
      <c r="B138" s="7" t="s">
        <v>1728</v>
      </c>
      <c r="C138" s="7" t="s">
        <v>19</v>
      </c>
      <c r="D138" s="7" t="s">
        <v>2210</v>
      </c>
      <c r="E138" s="7" t="s">
        <v>2211</v>
      </c>
      <c r="F138" s="7" t="s">
        <v>2212</v>
      </c>
      <c r="G138" s="7" t="s">
        <v>1798</v>
      </c>
      <c r="H138" s="7" t="s">
        <v>2213</v>
      </c>
      <c r="J138" s="7" t="s">
        <v>2363</v>
      </c>
    </row>
    <row r="139" spans="1:10">
      <c r="A139" s="7">
        <v>138</v>
      </c>
      <c r="B139" s="7" t="s">
        <v>1728</v>
      </c>
      <c r="C139" s="7" t="s">
        <v>19</v>
      </c>
      <c r="D139" s="7" t="s">
        <v>2214</v>
      </c>
      <c r="E139" s="7" t="s">
        <v>2215</v>
      </c>
      <c r="F139" s="7" t="s">
        <v>2216</v>
      </c>
      <c r="G139" s="7" t="s">
        <v>1780</v>
      </c>
      <c r="J139" s="7" t="s">
        <v>2363</v>
      </c>
    </row>
    <row r="140" spans="1:10">
      <c r="A140" s="7">
        <v>139</v>
      </c>
      <c r="B140" s="7" t="s">
        <v>1728</v>
      </c>
      <c r="C140" s="7" t="s">
        <v>19</v>
      </c>
      <c r="D140" s="7" t="s">
        <v>2217</v>
      </c>
      <c r="E140" s="7" t="s">
        <v>2218</v>
      </c>
      <c r="F140" s="7" t="s">
        <v>2219</v>
      </c>
      <c r="G140" s="7" t="s">
        <v>1854</v>
      </c>
      <c r="H140" s="7" t="s">
        <v>2220</v>
      </c>
      <c r="J140" s="7" t="s">
        <v>2363</v>
      </c>
    </row>
    <row r="141" spans="1:10">
      <c r="A141" s="7">
        <v>140</v>
      </c>
      <c r="B141" s="7" t="s">
        <v>1728</v>
      </c>
      <c r="C141" s="7" t="s">
        <v>19</v>
      </c>
      <c r="D141" s="7" t="s">
        <v>2221</v>
      </c>
      <c r="E141" s="7" t="s">
        <v>2222</v>
      </c>
      <c r="F141" s="7" t="s">
        <v>2223</v>
      </c>
      <c r="G141" s="7" t="s">
        <v>1757</v>
      </c>
      <c r="J141" s="7" t="s">
        <v>2363</v>
      </c>
    </row>
    <row r="142" spans="1:10">
      <c r="A142" s="7">
        <v>141</v>
      </c>
      <c r="B142" s="7" t="s">
        <v>1728</v>
      </c>
      <c r="C142" s="7" t="s">
        <v>19</v>
      </c>
      <c r="D142" s="7" t="s">
        <v>2224</v>
      </c>
      <c r="E142" s="7" t="s">
        <v>2225</v>
      </c>
      <c r="F142" s="7" t="s">
        <v>2226</v>
      </c>
      <c r="G142" s="7" t="s">
        <v>1757</v>
      </c>
      <c r="J142" s="7" t="s">
        <v>2363</v>
      </c>
    </row>
    <row r="143" spans="1:10">
      <c r="A143" s="7">
        <v>142</v>
      </c>
      <c r="B143" s="7" t="s">
        <v>1728</v>
      </c>
      <c r="C143" s="7" t="s">
        <v>19</v>
      </c>
      <c r="D143" s="7" t="s">
        <v>2227</v>
      </c>
      <c r="E143" s="7" t="s">
        <v>2228</v>
      </c>
      <c r="F143" s="7" t="s">
        <v>2229</v>
      </c>
      <c r="G143" s="7" t="s">
        <v>1828</v>
      </c>
      <c r="J143" s="7" t="s">
        <v>2363</v>
      </c>
    </row>
    <row r="144" spans="1:10">
      <c r="A144" s="7">
        <v>143</v>
      </c>
      <c r="B144" s="7" t="s">
        <v>1728</v>
      </c>
      <c r="C144" s="7" t="s">
        <v>19</v>
      </c>
      <c r="D144" s="7" t="s">
        <v>2230</v>
      </c>
      <c r="E144" s="7" t="s">
        <v>2231</v>
      </c>
      <c r="F144" s="7" t="s">
        <v>2232</v>
      </c>
      <c r="G144" s="7" t="s">
        <v>1757</v>
      </c>
      <c r="J144" s="7" t="s">
        <v>2363</v>
      </c>
    </row>
    <row r="145" spans="1:10">
      <c r="A145" s="7">
        <v>144</v>
      </c>
      <c r="B145" s="7" t="s">
        <v>1728</v>
      </c>
      <c r="C145" s="7" t="s">
        <v>19</v>
      </c>
      <c r="D145" s="7" t="s">
        <v>2233</v>
      </c>
      <c r="E145" s="7" t="s">
        <v>2234</v>
      </c>
      <c r="F145" s="7" t="s">
        <v>2235</v>
      </c>
      <c r="G145" s="7" t="s">
        <v>1791</v>
      </c>
      <c r="H145" s="7" t="s">
        <v>2236</v>
      </c>
      <c r="J145" s="7" t="s">
        <v>2363</v>
      </c>
    </row>
    <row r="146" spans="1:10">
      <c r="A146" s="7">
        <v>145</v>
      </c>
      <c r="B146" s="7" t="s">
        <v>1728</v>
      </c>
      <c r="C146" s="7" t="s">
        <v>19</v>
      </c>
      <c r="D146" s="7" t="s">
        <v>2237</v>
      </c>
      <c r="E146" s="7" t="s">
        <v>2238</v>
      </c>
      <c r="F146" s="7" t="s">
        <v>2239</v>
      </c>
      <c r="G146" s="7" t="s">
        <v>1757</v>
      </c>
      <c r="J146" s="7" t="s">
        <v>2363</v>
      </c>
    </row>
    <row r="147" spans="1:10">
      <c r="A147" s="7">
        <v>146</v>
      </c>
      <c r="B147" s="7" t="s">
        <v>1728</v>
      </c>
      <c r="C147" s="7" t="s">
        <v>19</v>
      </c>
      <c r="D147" s="7" t="s">
        <v>2240</v>
      </c>
      <c r="E147" s="7" t="s">
        <v>2241</v>
      </c>
      <c r="F147" s="7" t="s">
        <v>2242</v>
      </c>
      <c r="G147" s="7" t="s">
        <v>1780</v>
      </c>
      <c r="J147" s="7" t="s">
        <v>2363</v>
      </c>
    </row>
    <row r="148" spans="1:10">
      <c r="A148" s="7">
        <v>147</v>
      </c>
      <c r="B148" s="7" t="s">
        <v>1728</v>
      </c>
      <c r="C148" s="7" t="s">
        <v>19</v>
      </c>
      <c r="D148" s="7" t="s">
        <v>2243</v>
      </c>
      <c r="E148" s="7" t="s">
        <v>2244</v>
      </c>
      <c r="F148" s="7" t="s">
        <v>2245</v>
      </c>
      <c r="G148" s="7" t="s">
        <v>1736</v>
      </c>
      <c r="J148" s="7" t="s">
        <v>2363</v>
      </c>
    </row>
    <row r="149" spans="1:10">
      <c r="A149" s="7">
        <v>148</v>
      </c>
      <c r="B149" s="7" t="s">
        <v>1728</v>
      </c>
      <c r="C149" s="7" t="s">
        <v>19</v>
      </c>
      <c r="D149" s="7" t="s">
        <v>2246</v>
      </c>
      <c r="E149" s="7" t="s">
        <v>2247</v>
      </c>
      <c r="F149" s="7" t="s">
        <v>2248</v>
      </c>
      <c r="G149" s="7" t="s">
        <v>1736</v>
      </c>
      <c r="J149" s="7" t="s">
        <v>2363</v>
      </c>
    </row>
    <row r="150" spans="1:10">
      <c r="A150" s="7">
        <v>149</v>
      </c>
      <c r="B150" s="7" t="s">
        <v>1728</v>
      </c>
      <c r="C150" s="7" t="s">
        <v>19</v>
      </c>
      <c r="D150" s="7" t="s">
        <v>2249</v>
      </c>
      <c r="E150" s="7" t="s">
        <v>2250</v>
      </c>
      <c r="F150" s="7" t="s">
        <v>2251</v>
      </c>
      <c r="G150" s="7" t="s">
        <v>1791</v>
      </c>
      <c r="J150" s="7" t="s">
        <v>2363</v>
      </c>
    </row>
    <row r="151" spans="1:10">
      <c r="A151" s="7">
        <v>150</v>
      </c>
      <c r="B151" s="7" t="s">
        <v>1728</v>
      </c>
      <c r="C151" s="7" t="s">
        <v>19</v>
      </c>
      <c r="D151" s="7" t="s">
        <v>2252</v>
      </c>
      <c r="E151" s="7" t="s">
        <v>2253</v>
      </c>
      <c r="F151" s="7" t="s">
        <v>2254</v>
      </c>
      <c r="G151" s="7" t="s">
        <v>2255</v>
      </c>
      <c r="H151" s="7" t="s">
        <v>2256</v>
      </c>
      <c r="J151" s="7" t="s">
        <v>2363</v>
      </c>
    </row>
    <row r="152" spans="1:10">
      <c r="A152" s="7">
        <v>151</v>
      </c>
      <c r="B152" s="7" t="s">
        <v>1728</v>
      </c>
      <c r="C152" s="7" t="s">
        <v>19</v>
      </c>
      <c r="D152" s="7" t="s">
        <v>2257</v>
      </c>
      <c r="E152" s="7" t="s">
        <v>2258</v>
      </c>
      <c r="F152" s="7" t="s">
        <v>2259</v>
      </c>
      <c r="G152" s="7" t="s">
        <v>1745</v>
      </c>
      <c r="J152" s="7" t="s">
        <v>2363</v>
      </c>
    </row>
    <row r="153" spans="1:10">
      <c r="A153" s="7">
        <v>152</v>
      </c>
      <c r="B153" s="7" t="s">
        <v>1728</v>
      </c>
      <c r="C153" s="7" t="s">
        <v>19</v>
      </c>
      <c r="D153" s="7" t="s">
        <v>2260</v>
      </c>
      <c r="E153" s="7" t="s">
        <v>2261</v>
      </c>
      <c r="F153" s="7" t="s">
        <v>2262</v>
      </c>
      <c r="G153" s="7" t="s">
        <v>1854</v>
      </c>
      <c r="H153" s="7" t="s">
        <v>2263</v>
      </c>
      <c r="J153" s="7" t="s">
        <v>2363</v>
      </c>
    </row>
    <row r="154" spans="1:10">
      <c r="A154" s="7">
        <v>153</v>
      </c>
      <c r="B154" s="7" t="s">
        <v>1728</v>
      </c>
      <c r="C154" s="7" t="s">
        <v>19</v>
      </c>
      <c r="D154" s="7" t="s">
        <v>2264</v>
      </c>
      <c r="E154" s="7" t="s">
        <v>2265</v>
      </c>
      <c r="F154" s="7" t="s">
        <v>2266</v>
      </c>
      <c r="G154" s="7" t="s">
        <v>1854</v>
      </c>
      <c r="I154" s="7" t="s">
        <v>2143</v>
      </c>
      <c r="J154" s="7" t="s">
        <v>2363</v>
      </c>
    </row>
    <row r="155" spans="1:10">
      <c r="A155" s="7">
        <v>154</v>
      </c>
      <c r="B155" s="7" t="s">
        <v>1728</v>
      </c>
      <c r="C155" s="7" t="s">
        <v>19</v>
      </c>
      <c r="D155" s="7" t="s">
        <v>2267</v>
      </c>
      <c r="E155" s="7" t="s">
        <v>2268</v>
      </c>
      <c r="F155" s="7" t="s">
        <v>2269</v>
      </c>
      <c r="G155" s="7" t="s">
        <v>1791</v>
      </c>
      <c r="I155" s="7" t="s">
        <v>2027</v>
      </c>
      <c r="J155" s="7" t="s">
        <v>2363</v>
      </c>
    </row>
    <row r="156" spans="1:10">
      <c r="A156" s="7">
        <v>155</v>
      </c>
      <c r="B156" s="7" t="s">
        <v>1728</v>
      </c>
      <c r="C156" s="7" t="s">
        <v>19</v>
      </c>
      <c r="D156" s="7" t="s">
        <v>2270</v>
      </c>
      <c r="E156" s="7" t="s">
        <v>2271</v>
      </c>
      <c r="F156" s="7" t="s">
        <v>2272</v>
      </c>
      <c r="G156" s="7" t="s">
        <v>1791</v>
      </c>
      <c r="H156" s="7" t="s">
        <v>2273</v>
      </c>
      <c r="J156" s="7" t="s">
        <v>2363</v>
      </c>
    </row>
    <row r="157" spans="1:10">
      <c r="A157" s="7">
        <v>156</v>
      </c>
      <c r="B157" s="7" t="s">
        <v>1728</v>
      </c>
      <c r="C157" s="7" t="s">
        <v>19</v>
      </c>
      <c r="D157" s="7" t="s">
        <v>2274</v>
      </c>
      <c r="E157" s="7" t="s">
        <v>2275</v>
      </c>
      <c r="F157" s="7" t="s">
        <v>2276</v>
      </c>
      <c r="G157" s="7" t="s">
        <v>1780</v>
      </c>
      <c r="J157" s="7" t="s">
        <v>2363</v>
      </c>
    </row>
    <row r="158" spans="1:10">
      <c r="A158" s="7">
        <v>157</v>
      </c>
      <c r="B158" s="7" t="s">
        <v>1728</v>
      </c>
      <c r="C158" s="7" t="s">
        <v>19</v>
      </c>
      <c r="D158" s="7" t="s">
        <v>2277</v>
      </c>
      <c r="E158" s="7" t="s">
        <v>2278</v>
      </c>
      <c r="F158" s="7" t="s">
        <v>2279</v>
      </c>
      <c r="G158" s="7" t="s">
        <v>1745</v>
      </c>
      <c r="I158" s="7" t="s">
        <v>2280</v>
      </c>
      <c r="J158" s="7" t="s">
        <v>2363</v>
      </c>
    </row>
    <row r="159" spans="1:10">
      <c r="A159" s="7">
        <v>158</v>
      </c>
      <c r="B159" s="7" t="s">
        <v>1728</v>
      </c>
      <c r="C159" s="7" t="s">
        <v>19</v>
      </c>
      <c r="D159" s="7" t="s">
        <v>2281</v>
      </c>
      <c r="E159" s="7" t="s">
        <v>2282</v>
      </c>
      <c r="F159" s="7" t="s">
        <v>2283</v>
      </c>
      <c r="G159" s="7" t="s">
        <v>1741</v>
      </c>
      <c r="I159" s="7" t="s">
        <v>2284</v>
      </c>
      <c r="J159" s="7" t="s">
        <v>2363</v>
      </c>
    </row>
    <row r="160" spans="1:10">
      <c r="A160" s="7">
        <v>159</v>
      </c>
      <c r="B160" s="7" t="s">
        <v>1728</v>
      </c>
      <c r="C160" s="7" t="s">
        <v>19</v>
      </c>
      <c r="D160" s="7" t="s">
        <v>2285</v>
      </c>
      <c r="E160" s="7" t="s">
        <v>2286</v>
      </c>
      <c r="F160" s="7" t="s">
        <v>2287</v>
      </c>
      <c r="G160" s="7" t="s">
        <v>2288</v>
      </c>
      <c r="H160" s="7" t="s">
        <v>2289</v>
      </c>
      <c r="J160" s="7" t="s">
        <v>2363</v>
      </c>
    </row>
    <row r="161" spans="1:10">
      <c r="A161" s="7">
        <v>160</v>
      </c>
      <c r="B161" s="7" t="s">
        <v>1728</v>
      </c>
      <c r="C161" s="7" t="s">
        <v>19</v>
      </c>
      <c r="D161" s="7" t="s">
        <v>2290</v>
      </c>
      <c r="E161" s="7" t="s">
        <v>2291</v>
      </c>
      <c r="F161" s="7" t="s">
        <v>2292</v>
      </c>
      <c r="G161" s="7" t="s">
        <v>1791</v>
      </c>
      <c r="I161" s="7" t="s">
        <v>2293</v>
      </c>
      <c r="J161" s="7" t="s">
        <v>2363</v>
      </c>
    </row>
    <row r="162" spans="1:10">
      <c r="A162" s="7">
        <v>161</v>
      </c>
      <c r="B162" s="7" t="s">
        <v>1728</v>
      </c>
      <c r="C162" s="7" t="s">
        <v>19</v>
      </c>
      <c r="D162" s="7" t="s">
        <v>2294</v>
      </c>
      <c r="E162" s="7" t="s">
        <v>2295</v>
      </c>
      <c r="F162" s="7" t="s">
        <v>2296</v>
      </c>
      <c r="G162" s="7" t="s">
        <v>1798</v>
      </c>
      <c r="J162" s="7" t="s">
        <v>2363</v>
      </c>
    </row>
    <row r="163" spans="1:10">
      <c r="A163" s="7">
        <v>162</v>
      </c>
      <c r="B163" s="7" t="s">
        <v>1728</v>
      </c>
      <c r="C163" s="7" t="s">
        <v>19</v>
      </c>
      <c r="D163" s="7" t="s">
        <v>2297</v>
      </c>
      <c r="E163" s="7" t="s">
        <v>2298</v>
      </c>
      <c r="F163" s="7" t="s">
        <v>2299</v>
      </c>
      <c r="G163" s="7" t="s">
        <v>1791</v>
      </c>
      <c r="H163" s="7" t="s">
        <v>2300</v>
      </c>
      <c r="J163" s="7" t="s">
        <v>2363</v>
      </c>
    </row>
    <row r="164" spans="1:10">
      <c r="A164" s="7">
        <v>163</v>
      </c>
      <c r="B164" s="7" t="s">
        <v>1728</v>
      </c>
      <c r="C164" s="7" t="s">
        <v>19</v>
      </c>
      <c r="D164" s="7" t="s">
        <v>2301</v>
      </c>
      <c r="E164" s="7" t="s">
        <v>2302</v>
      </c>
      <c r="F164" s="7" t="s">
        <v>2303</v>
      </c>
      <c r="G164" s="7" t="s">
        <v>1757</v>
      </c>
      <c r="J164" s="7" t="s">
        <v>2363</v>
      </c>
    </row>
    <row r="165" spans="1:10">
      <c r="A165" s="7">
        <v>164</v>
      </c>
      <c r="B165" s="7" t="s">
        <v>1728</v>
      </c>
      <c r="C165" s="7" t="s">
        <v>19</v>
      </c>
      <c r="D165" s="7" t="s">
        <v>2304</v>
      </c>
      <c r="E165" s="7" t="s">
        <v>2305</v>
      </c>
      <c r="F165" s="7" t="s">
        <v>2306</v>
      </c>
      <c r="G165" s="7" t="s">
        <v>2307</v>
      </c>
      <c r="H165" s="7" t="s">
        <v>2308</v>
      </c>
      <c r="J165" s="7" t="s">
        <v>2363</v>
      </c>
    </row>
    <row r="166" spans="1:10">
      <c r="A166" s="7">
        <v>165</v>
      </c>
      <c r="B166" s="7" t="s">
        <v>1728</v>
      </c>
      <c r="C166" s="7" t="s">
        <v>19</v>
      </c>
      <c r="D166" s="7" t="s">
        <v>2309</v>
      </c>
      <c r="E166" s="7" t="s">
        <v>2310</v>
      </c>
      <c r="F166" s="7" t="s">
        <v>2311</v>
      </c>
      <c r="G166" s="7" t="s">
        <v>2312</v>
      </c>
      <c r="J166" s="7" t="s">
        <v>2363</v>
      </c>
    </row>
    <row r="167" spans="1:10">
      <c r="A167" s="7">
        <v>166</v>
      </c>
      <c r="B167" s="7" t="s">
        <v>1728</v>
      </c>
      <c r="C167" s="7" t="s">
        <v>19</v>
      </c>
      <c r="D167" s="7" t="s">
        <v>2313</v>
      </c>
      <c r="E167" s="7" t="s">
        <v>2314</v>
      </c>
      <c r="F167" s="7" t="s">
        <v>2315</v>
      </c>
      <c r="G167" s="7" t="s">
        <v>2312</v>
      </c>
      <c r="J167" s="7" t="s">
        <v>2363</v>
      </c>
    </row>
    <row r="168" spans="1:10">
      <c r="A168" s="7">
        <v>167</v>
      </c>
      <c r="B168" s="7" t="s">
        <v>1728</v>
      </c>
      <c r="C168" s="7" t="s">
        <v>19</v>
      </c>
      <c r="D168" s="7" t="s">
        <v>2316</v>
      </c>
      <c r="E168" s="7" t="s">
        <v>2317</v>
      </c>
      <c r="F168" s="7" t="s">
        <v>2318</v>
      </c>
      <c r="G168" s="7" t="s">
        <v>1955</v>
      </c>
      <c r="J168" s="7" t="s">
        <v>2363</v>
      </c>
    </row>
    <row r="169" spans="1:10">
      <c r="A169" s="7">
        <v>168</v>
      </c>
      <c r="B169" s="7" t="s">
        <v>1728</v>
      </c>
      <c r="C169" s="7" t="s">
        <v>19</v>
      </c>
      <c r="D169" s="7" t="s">
        <v>2319</v>
      </c>
      <c r="E169" s="7" t="s">
        <v>2320</v>
      </c>
      <c r="F169" s="7" t="s">
        <v>2321</v>
      </c>
      <c r="G169" s="7" t="s">
        <v>1741</v>
      </c>
      <c r="H169" s="7" t="s">
        <v>2322</v>
      </c>
      <c r="I169" s="7" t="s">
        <v>2323</v>
      </c>
      <c r="J169" s="7" t="s">
        <v>2363</v>
      </c>
    </row>
    <row r="170" spans="1:10">
      <c r="A170" s="7">
        <v>169</v>
      </c>
      <c r="B170" s="7" t="s">
        <v>1728</v>
      </c>
      <c r="C170" s="7" t="s">
        <v>19</v>
      </c>
      <c r="D170" s="7" t="s">
        <v>2324</v>
      </c>
      <c r="E170" s="7" t="s">
        <v>2325</v>
      </c>
      <c r="F170" s="7" t="s">
        <v>2326</v>
      </c>
      <c r="G170" s="7" t="s">
        <v>2327</v>
      </c>
      <c r="H170" s="7" t="s">
        <v>2328</v>
      </c>
      <c r="J170" s="7" t="s">
        <v>2363</v>
      </c>
    </row>
    <row r="171" spans="1:10">
      <c r="A171" s="7">
        <v>170</v>
      </c>
      <c r="B171" s="7" t="s">
        <v>1728</v>
      </c>
      <c r="C171" s="7" t="s">
        <v>19</v>
      </c>
      <c r="D171" s="7" t="s">
        <v>2329</v>
      </c>
      <c r="E171" s="7" t="s">
        <v>2330</v>
      </c>
      <c r="F171" s="7" t="s">
        <v>2331</v>
      </c>
      <c r="G171" s="7" t="s">
        <v>1787</v>
      </c>
      <c r="J171" s="7" t="s">
        <v>2363</v>
      </c>
    </row>
    <row r="172" spans="1:10">
      <c r="A172" s="7">
        <v>171</v>
      </c>
      <c r="B172" s="7" t="s">
        <v>1728</v>
      </c>
      <c r="C172" s="7" t="s">
        <v>19</v>
      </c>
      <c r="D172" s="7" t="s">
        <v>2332</v>
      </c>
      <c r="E172" s="7" t="s">
        <v>2333</v>
      </c>
      <c r="F172" s="7" t="s">
        <v>2334</v>
      </c>
      <c r="G172" s="7" t="s">
        <v>1741</v>
      </c>
      <c r="J172" s="7" t="s">
        <v>2363</v>
      </c>
    </row>
    <row r="173" spans="1:10">
      <c r="A173" s="7">
        <v>172</v>
      </c>
      <c r="B173" s="7" t="s">
        <v>1728</v>
      </c>
      <c r="C173" s="7" t="s">
        <v>19</v>
      </c>
      <c r="D173" s="7" t="s">
        <v>2335</v>
      </c>
      <c r="E173" s="7" t="s">
        <v>2336</v>
      </c>
      <c r="F173" s="7" t="s">
        <v>2337</v>
      </c>
      <c r="G173" s="7" t="s">
        <v>1745</v>
      </c>
      <c r="J173" s="7" t="s">
        <v>2363</v>
      </c>
    </row>
    <row r="174" spans="1:10">
      <c r="A174" s="7">
        <v>173</v>
      </c>
      <c r="B174" s="7" t="s">
        <v>1728</v>
      </c>
      <c r="C174" s="7" t="s">
        <v>19</v>
      </c>
      <c r="D174" s="7" t="s">
        <v>2338</v>
      </c>
      <c r="E174" s="7" t="s">
        <v>2339</v>
      </c>
      <c r="F174" s="7" t="s">
        <v>2340</v>
      </c>
      <c r="G174" s="7" t="s">
        <v>1745</v>
      </c>
      <c r="J174" s="7" t="s">
        <v>2363</v>
      </c>
    </row>
    <row r="175" spans="1:10">
      <c r="A175" s="7">
        <v>174</v>
      </c>
      <c r="B175" s="7" t="s">
        <v>1728</v>
      </c>
      <c r="C175" s="7" t="s">
        <v>19</v>
      </c>
      <c r="D175" s="7" t="s">
        <v>2341</v>
      </c>
      <c r="E175" s="7" t="s">
        <v>2342</v>
      </c>
      <c r="F175" s="7" t="s">
        <v>2343</v>
      </c>
      <c r="G175" s="7" t="s">
        <v>1749</v>
      </c>
      <c r="I175" s="7" t="s">
        <v>1737</v>
      </c>
      <c r="J175" s="7" t="s">
        <v>2363</v>
      </c>
    </row>
    <row r="176" spans="1:10">
      <c r="A176" s="7">
        <v>175</v>
      </c>
      <c r="B176" s="7" t="s">
        <v>1728</v>
      </c>
      <c r="C176" s="7" t="s">
        <v>19</v>
      </c>
      <c r="D176" s="7" t="s">
        <v>2344</v>
      </c>
      <c r="E176" s="7" t="s">
        <v>2345</v>
      </c>
      <c r="F176" s="7" t="s">
        <v>2346</v>
      </c>
      <c r="G176" s="7" t="s">
        <v>1791</v>
      </c>
      <c r="J176" s="7" t="s">
        <v>2363</v>
      </c>
    </row>
    <row r="177" spans="1:10">
      <c r="A177" s="7">
        <v>176</v>
      </c>
      <c r="B177" s="7" t="s">
        <v>1728</v>
      </c>
      <c r="C177" s="7" t="s">
        <v>19</v>
      </c>
      <c r="D177" s="7" t="s">
        <v>2347</v>
      </c>
      <c r="E177" s="7" t="s">
        <v>2348</v>
      </c>
      <c r="F177" s="7" t="s">
        <v>2349</v>
      </c>
      <c r="G177" s="7" t="s">
        <v>2350</v>
      </c>
      <c r="I177" s="7" t="s">
        <v>2351</v>
      </c>
      <c r="J177" s="7" t="s">
        <v>2363</v>
      </c>
    </row>
    <row r="178" spans="1:10">
      <c r="A178" s="7">
        <v>177</v>
      </c>
      <c r="B178" s="7" t="s">
        <v>1728</v>
      </c>
      <c r="C178" s="7" t="s">
        <v>19</v>
      </c>
      <c r="D178" s="7" t="s">
        <v>2352</v>
      </c>
      <c r="E178" s="7" t="s">
        <v>2353</v>
      </c>
      <c r="F178" s="7" t="s">
        <v>2354</v>
      </c>
      <c r="G178" s="7" t="s">
        <v>1732</v>
      </c>
      <c r="J178" s="7" t="s">
        <v>2363</v>
      </c>
    </row>
    <row r="179" spans="1:10">
      <c r="A179" s="7">
        <v>178</v>
      </c>
      <c r="B179" s="7" t="s">
        <v>1728</v>
      </c>
      <c r="C179" s="7" t="s">
        <v>19</v>
      </c>
      <c r="D179" s="7" t="s">
        <v>2355</v>
      </c>
      <c r="E179" s="7" t="s">
        <v>2356</v>
      </c>
      <c r="F179" s="7" t="s">
        <v>2357</v>
      </c>
      <c r="G179" s="7" t="s">
        <v>2358</v>
      </c>
      <c r="J179" s="7" t="s">
        <v>2363</v>
      </c>
    </row>
    <row r="180" spans="1:10">
      <c r="A180" s="7">
        <v>179</v>
      </c>
      <c r="B180" s="7" t="s">
        <v>1728</v>
      </c>
      <c r="C180" s="7" t="s">
        <v>19</v>
      </c>
      <c r="D180" s="7" t="s">
        <v>2359</v>
      </c>
      <c r="E180" s="7" t="s">
        <v>2360</v>
      </c>
      <c r="F180" s="7" t="s">
        <v>2361</v>
      </c>
      <c r="G180" s="7" t="s">
        <v>2362</v>
      </c>
      <c r="J180" s="7" t="s">
        <v>2363</v>
      </c>
    </row>
    <row r="181" spans="1:10">
      <c r="A181" s="7">
        <v>1</v>
      </c>
      <c r="B181" s="7" t="s">
        <v>1728</v>
      </c>
      <c r="C181" s="7" t="s">
        <v>19</v>
      </c>
      <c r="D181" s="7" t="s">
        <v>1729</v>
      </c>
      <c r="E181" s="7" t="s">
        <v>1730</v>
      </c>
      <c r="F181" s="7" t="s">
        <v>1731</v>
      </c>
      <c r="G181" s="7" t="s">
        <v>1732</v>
      </c>
      <c r="J181" s="7" t="s">
        <v>2415</v>
      </c>
    </row>
    <row r="182" spans="1:10">
      <c r="A182" s="7">
        <v>2</v>
      </c>
      <c r="B182" s="7" t="s">
        <v>1728</v>
      </c>
      <c r="C182" s="7" t="s">
        <v>19</v>
      </c>
      <c r="D182" s="7" t="s">
        <v>1733</v>
      </c>
      <c r="E182" s="7" t="s">
        <v>1734</v>
      </c>
      <c r="F182" s="7" t="s">
        <v>1735</v>
      </c>
      <c r="G182" s="7" t="s">
        <v>1736</v>
      </c>
      <c r="I182" s="7" t="s">
        <v>1737</v>
      </c>
      <c r="J182" s="7" t="s">
        <v>2415</v>
      </c>
    </row>
    <row r="183" spans="1:10">
      <c r="A183" s="7">
        <v>3</v>
      </c>
      <c r="B183" s="7" t="s">
        <v>1728</v>
      </c>
      <c r="C183" s="7" t="s">
        <v>19</v>
      </c>
      <c r="E183" s="7" t="s">
        <v>1743</v>
      </c>
      <c r="F183" s="7" t="s">
        <v>1744</v>
      </c>
      <c r="G183" s="7" t="s">
        <v>1745</v>
      </c>
      <c r="J183" s="7" t="s">
        <v>2415</v>
      </c>
    </row>
    <row r="184" spans="1:10">
      <c r="A184" s="7">
        <v>4</v>
      </c>
      <c r="B184" s="7" t="s">
        <v>1728</v>
      </c>
      <c r="C184" s="7" t="s">
        <v>19</v>
      </c>
      <c r="D184" s="7" t="s">
        <v>1746</v>
      </c>
      <c r="E184" s="7" t="s">
        <v>1747</v>
      </c>
      <c r="F184" s="7" t="s">
        <v>1748</v>
      </c>
      <c r="G184" s="7" t="s">
        <v>1749</v>
      </c>
      <c r="I184" s="7" t="s">
        <v>1750</v>
      </c>
      <c r="J184" s="7" t="s">
        <v>2415</v>
      </c>
    </row>
    <row r="185" spans="1:10">
      <c r="A185" s="7">
        <v>5</v>
      </c>
      <c r="B185" s="7" t="s">
        <v>1728</v>
      </c>
      <c r="C185" s="7" t="s">
        <v>19</v>
      </c>
      <c r="D185" s="7" t="s">
        <v>1751</v>
      </c>
      <c r="E185" s="7" t="s">
        <v>1752</v>
      </c>
      <c r="F185" s="7" t="s">
        <v>1748</v>
      </c>
      <c r="G185" s="7" t="s">
        <v>1753</v>
      </c>
      <c r="I185" s="7" t="s">
        <v>1737</v>
      </c>
      <c r="J185" s="7" t="s">
        <v>2415</v>
      </c>
    </row>
    <row r="186" spans="1:10">
      <c r="A186" s="7">
        <v>6</v>
      </c>
      <c r="B186" s="7" t="s">
        <v>1728</v>
      </c>
      <c r="C186" s="7" t="s">
        <v>19</v>
      </c>
      <c r="D186" s="7" t="s">
        <v>1758</v>
      </c>
      <c r="E186" s="7" t="s">
        <v>1759</v>
      </c>
      <c r="F186" s="7" t="s">
        <v>1760</v>
      </c>
      <c r="G186" s="7" t="s">
        <v>1761</v>
      </c>
      <c r="J186" s="7" t="s">
        <v>2415</v>
      </c>
    </row>
    <row r="187" spans="1:10">
      <c r="A187" s="7">
        <v>7</v>
      </c>
      <c r="B187" s="7" t="s">
        <v>1728</v>
      </c>
      <c r="C187" s="7" t="s">
        <v>19</v>
      </c>
      <c r="D187" s="7" t="s">
        <v>1762</v>
      </c>
      <c r="E187" s="7" t="s">
        <v>1763</v>
      </c>
      <c r="F187" s="7" t="s">
        <v>1764</v>
      </c>
      <c r="G187" s="7" t="s">
        <v>1765</v>
      </c>
      <c r="J187" s="7" t="s">
        <v>2415</v>
      </c>
    </row>
    <row r="188" spans="1:10">
      <c r="A188" s="7">
        <v>8</v>
      </c>
      <c r="B188" s="7" t="s">
        <v>1728</v>
      </c>
      <c r="C188" s="7" t="s">
        <v>19</v>
      </c>
      <c r="D188" s="7" t="s">
        <v>2364</v>
      </c>
      <c r="E188" s="7" t="s">
        <v>2365</v>
      </c>
      <c r="F188" s="7" t="s">
        <v>2366</v>
      </c>
      <c r="G188" s="7" t="s">
        <v>1780</v>
      </c>
      <c r="I188" s="7" t="s">
        <v>2367</v>
      </c>
      <c r="J188" s="7" t="s">
        <v>2415</v>
      </c>
    </row>
    <row r="189" spans="1:10">
      <c r="A189" s="7">
        <v>9</v>
      </c>
      <c r="B189" s="7" t="s">
        <v>1728</v>
      </c>
      <c r="C189" s="7" t="s">
        <v>19</v>
      </c>
      <c r="D189" s="7" t="s">
        <v>1766</v>
      </c>
      <c r="E189" s="7" t="s">
        <v>1767</v>
      </c>
      <c r="F189" s="7" t="s">
        <v>1768</v>
      </c>
      <c r="G189" s="7" t="s">
        <v>1749</v>
      </c>
      <c r="J189" s="7" t="s">
        <v>2415</v>
      </c>
    </row>
    <row r="190" spans="1:10">
      <c r="A190" s="7">
        <v>10</v>
      </c>
      <c r="B190" s="7" t="s">
        <v>1728</v>
      </c>
      <c r="C190" s="7" t="s">
        <v>19</v>
      </c>
      <c r="D190" s="7" t="s">
        <v>2368</v>
      </c>
      <c r="E190" s="7" t="s">
        <v>2369</v>
      </c>
      <c r="F190" s="7" t="s">
        <v>2370</v>
      </c>
      <c r="G190" s="7" t="s">
        <v>1745</v>
      </c>
      <c r="J190" s="7" t="s">
        <v>2415</v>
      </c>
    </row>
    <row r="191" spans="1:10">
      <c r="A191" s="7">
        <v>11</v>
      </c>
      <c r="B191" s="7" t="s">
        <v>1728</v>
      </c>
      <c r="C191" s="7" t="s">
        <v>19</v>
      </c>
      <c r="D191" s="7" t="s">
        <v>2371</v>
      </c>
      <c r="E191" s="7" t="s">
        <v>2372</v>
      </c>
      <c r="F191" s="7" t="s">
        <v>2373</v>
      </c>
      <c r="G191" s="7" t="s">
        <v>1749</v>
      </c>
      <c r="I191" s="7" t="s">
        <v>2374</v>
      </c>
      <c r="J191" s="7" t="s">
        <v>2415</v>
      </c>
    </row>
    <row r="192" spans="1:10">
      <c r="A192" s="7">
        <v>12</v>
      </c>
      <c r="B192" s="7" t="s">
        <v>1728</v>
      </c>
      <c r="C192" s="7" t="s">
        <v>19</v>
      </c>
      <c r="D192" s="7" t="s">
        <v>1769</v>
      </c>
      <c r="E192" s="7" t="s">
        <v>1770</v>
      </c>
      <c r="F192" s="7" t="s">
        <v>1771</v>
      </c>
      <c r="G192" s="7" t="s">
        <v>1772</v>
      </c>
      <c r="J192" s="7" t="s">
        <v>2415</v>
      </c>
    </row>
    <row r="193" spans="1:10">
      <c r="A193" s="7">
        <v>13</v>
      </c>
      <c r="B193" s="7" t="s">
        <v>1728</v>
      </c>
      <c r="C193" s="7" t="s">
        <v>19</v>
      </c>
      <c r="D193" s="7" t="s">
        <v>1773</v>
      </c>
      <c r="E193" s="7" t="s">
        <v>1774</v>
      </c>
      <c r="F193" s="7" t="s">
        <v>1775</v>
      </c>
      <c r="G193" s="7" t="s">
        <v>1745</v>
      </c>
      <c r="H193" s="7" t="s">
        <v>1776</v>
      </c>
      <c r="J193" s="7" t="s">
        <v>2415</v>
      </c>
    </row>
    <row r="194" spans="1:10">
      <c r="A194" s="7">
        <v>14</v>
      </c>
      <c r="B194" s="7" t="s">
        <v>1728</v>
      </c>
      <c r="C194" s="7" t="s">
        <v>19</v>
      </c>
      <c r="D194" s="7" t="s">
        <v>1781</v>
      </c>
      <c r="E194" s="7" t="s">
        <v>1782</v>
      </c>
      <c r="F194" s="7" t="s">
        <v>1783</v>
      </c>
      <c r="G194" s="7" t="s">
        <v>1745</v>
      </c>
      <c r="J194" s="7" t="s">
        <v>2415</v>
      </c>
    </row>
    <row r="195" spans="1:10">
      <c r="A195" s="7">
        <v>15</v>
      </c>
      <c r="B195" s="7" t="s">
        <v>1728</v>
      </c>
      <c r="C195" s="7" t="s">
        <v>19</v>
      </c>
      <c r="D195" s="7" t="s">
        <v>1784</v>
      </c>
      <c r="E195" s="7" t="s">
        <v>1785</v>
      </c>
      <c r="F195" s="7" t="s">
        <v>1786</v>
      </c>
      <c r="G195" s="7" t="s">
        <v>1787</v>
      </c>
      <c r="J195" s="7" t="s">
        <v>2415</v>
      </c>
    </row>
    <row r="196" spans="1:10">
      <c r="A196" s="7">
        <v>16</v>
      </c>
      <c r="B196" s="7" t="s">
        <v>1728</v>
      </c>
      <c r="C196" s="7" t="s">
        <v>19</v>
      </c>
      <c r="D196" s="7" t="s">
        <v>1788</v>
      </c>
      <c r="E196" s="7" t="s">
        <v>1789</v>
      </c>
      <c r="F196" s="7" t="s">
        <v>1790</v>
      </c>
      <c r="G196" s="7" t="s">
        <v>1791</v>
      </c>
      <c r="J196" s="7" t="s">
        <v>2415</v>
      </c>
    </row>
    <row r="197" spans="1:10">
      <c r="A197" s="7">
        <v>17</v>
      </c>
      <c r="B197" s="7" t="s">
        <v>1728</v>
      </c>
      <c r="C197" s="7" t="s">
        <v>19</v>
      </c>
      <c r="D197" s="7" t="s">
        <v>1815</v>
      </c>
      <c r="E197" s="7" t="s">
        <v>1816</v>
      </c>
      <c r="F197" s="7" t="s">
        <v>1817</v>
      </c>
      <c r="G197" s="7" t="s">
        <v>1806</v>
      </c>
      <c r="H197" s="7" t="s">
        <v>1818</v>
      </c>
      <c r="J197" s="7" t="s">
        <v>2415</v>
      </c>
    </row>
    <row r="198" spans="1:10">
      <c r="A198" s="7">
        <v>18</v>
      </c>
      <c r="B198" s="7" t="s">
        <v>1728</v>
      </c>
      <c r="C198" s="7" t="s">
        <v>19</v>
      </c>
      <c r="D198" s="7" t="s">
        <v>1825</v>
      </c>
      <c r="E198" s="7" t="s">
        <v>1826</v>
      </c>
      <c r="F198" s="7" t="s">
        <v>1827</v>
      </c>
      <c r="G198" s="7" t="s">
        <v>1828</v>
      </c>
      <c r="H198" s="7" t="s">
        <v>1829</v>
      </c>
      <c r="J198" s="7" t="s">
        <v>2415</v>
      </c>
    </row>
    <row r="199" spans="1:10">
      <c r="A199" s="7">
        <v>19</v>
      </c>
      <c r="B199" s="7" t="s">
        <v>1728</v>
      </c>
      <c r="C199" s="7" t="s">
        <v>19</v>
      </c>
      <c r="D199" s="7" t="s">
        <v>1830</v>
      </c>
      <c r="E199" s="7" t="s">
        <v>1831</v>
      </c>
      <c r="F199" s="7" t="s">
        <v>1832</v>
      </c>
      <c r="G199" s="7" t="s">
        <v>1833</v>
      </c>
      <c r="J199" s="7" t="s">
        <v>2415</v>
      </c>
    </row>
    <row r="200" spans="1:10">
      <c r="A200" s="7">
        <v>20</v>
      </c>
      <c r="B200" s="7" t="s">
        <v>1728</v>
      </c>
      <c r="C200" s="7" t="s">
        <v>19</v>
      </c>
      <c r="D200" s="7" t="s">
        <v>1834</v>
      </c>
      <c r="E200" s="7" t="s">
        <v>1835</v>
      </c>
      <c r="F200" s="7" t="s">
        <v>1836</v>
      </c>
      <c r="G200" s="7" t="s">
        <v>1837</v>
      </c>
      <c r="J200" s="7" t="s">
        <v>2415</v>
      </c>
    </row>
    <row r="201" spans="1:10">
      <c r="A201" s="7">
        <v>21</v>
      </c>
      <c r="B201" s="7" t="s">
        <v>1728</v>
      </c>
      <c r="C201" s="7" t="s">
        <v>19</v>
      </c>
      <c r="D201" s="7" t="s">
        <v>1838</v>
      </c>
      <c r="E201" s="7" t="s">
        <v>1839</v>
      </c>
      <c r="F201" s="7" t="s">
        <v>1840</v>
      </c>
      <c r="G201" s="7" t="s">
        <v>1837</v>
      </c>
      <c r="H201" s="7" t="s">
        <v>1841</v>
      </c>
      <c r="I201" s="7" t="s">
        <v>1737</v>
      </c>
      <c r="J201" s="7" t="s">
        <v>2415</v>
      </c>
    </row>
    <row r="202" spans="1:10">
      <c r="A202" s="7">
        <v>22</v>
      </c>
      <c r="B202" s="7" t="s">
        <v>1728</v>
      </c>
      <c r="C202" s="7" t="s">
        <v>19</v>
      </c>
      <c r="D202" s="7" t="s">
        <v>1842</v>
      </c>
      <c r="E202" s="7" t="s">
        <v>1843</v>
      </c>
      <c r="F202" s="7" t="s">
        <v>1836</v>
      </c>
      <c r="G202" s="7" t="s">
        <v>1844</v>
      </c>
      <c r="J202" s="7" t="s">
        <v>2415</v>
      </c>
    </row>
    <row r="203" spans="1:10">
      <c r="A203" s="7">
        <v>23</v>
      </c>
      <c r="B203" s="7" t="s">
        <v>1728</v>
      </c>
      <c r="C203" s="7" t="s">
        <v>19</v>
      </c>
      <c r="D203" s="7" t="s">
        <v>1851</v>
      </c>
      <c r="E203" s="7" t="s">
        <v>1852</v>
      </c>
      <c r="F203" s="7" t="s">
        <v>1853</v>
      </c>
      <c r="G203" s="7" t="s">
        <v>1854</v>
      </c>
      <c r="J203" s="7" t="s">
        <v>2415</v>
      </c>
    </row>
    <row r="204" spans="1:10">
      <c r="A204" s="7">
        <v>24</v>
      </c>
      <c r="B204" s="7" t="s">
        <v>1728</v>
      </c>
      <c r="C204" s="7" t="s">
        <v>19</v>
      </c>
      <c r="D204" s="7" t="s">
        <v>1855</v>
      </c>
      <c r="E204" s="7" t="s">
        <v>1856</v>
      </c>
      <c r="F204" s="7" t="s">
        <v>1857</v>
      </c>
      <c r="G204" s="7" t="s">
        <v>1736</v>
      </c>
      <c r="J204" s="7" t="s">
        <v>2415</v>
      </c>
    </row>
    <row r="205" spans="1:10">
      <c r="A205" s="7">
        <v>25</v>
      </c>
      <c r="B205" s="7" t="s">
        <v>1728</v>
      </c>
      <c r="C205" s="7" t="s">
        <v>19</v>
      </c>
      <c r="D205" s="7" t="s">
        <v>1858</v>
      </c>
      <c r="E205" s="7" t="s">
        <v>1859</v>
      </c>
      <c r="F205" s="7" t="s">
        <v>1860</v>
      </c>
      <c r="G205" s="7" t="s">
        <v>1791</v>
      </c>
      <c r="I205" s="7" t="s">
        <v>1861</v>
      </c>
      <c r="J205" s="7" t="s">
        <v>2415</v>
      </c>
    </row>
    <row r="206" spans="1:10">
      <c r="A206" s="7">
        <v>26</v>
      </c>
      <c r="B206" s="7" t="s">
        <v>1728</v>
      </c>
      <c r="C206" s="7" t="s">
        <v>19</v>
      </c>
      <c r="D206" s="7" t="s">
        <v>1862</v>
      </c>
      <c r="E206" s="7" t="s">
        <v>1863</v>
      </c>
      <c r="F206" s="7" t="s">
        <v>1864</v>
      </c>
      <c r="G206" s="7" t="s">
        <v>1791</v>
      </c>
      <c r="J206" s="7" t="s">
        <v>2415</v>
      </c>
    </row>
    <row r="207" spans="1:10">
      <c r="A207" s="7">
        <v>27</v>
      </c>
      <c r="B207" s="7" t="s">
        <v>1728</v>
      </c>
      <c r="C207" s="7" t="s">
        <v>19</v>
      </c>
      <c r="D207" s="7" t="s">
        <v>1865</v>
      </c>
      <c r="E207" s="7" t="s">
        <v>1866</v>
      </c>
      <c r="F207" s="7" t="s">
        <v>1867</v>
      </c>
      <c r="G207" s="7" t="s">
        <v>1757</v>
      </c>
      <c r="J207" s="7" t="s">
        <v>2415</v>
      </c>
    </row>
    <row r="208" spans="1:10">
      <c r="A208" s="7">
        <v>28</v>
      </c>
      <c r="B208" s="7" t="s">
        <v>1728</v>
      </c>
      <c r="C208" s="7" t="s">
        <v>19</v>
      </c>
      <c r="D208" s="7" t="s">
        <v>1871</v>
      </c>
      <c r="E208" s="7" t="s">
        <v>1872</v>
      </c>
      <c r="F208" s="7" t="s">
        <v>1873</v>
      </c>
      <c r="G208" s="7" t="s">
        <v>1791</v>
      </c>
      <c r="J208" s="7" t="s">
        <v>2415</v>
      </c>
    </row>
    <row r="209" spans="1:10">
      <c r="A209" s="7">
        <v>29</v>
      </c>
      <c r="B209" s="7" t="s">
        <v>1728</v>
      </c>
      <c r="C209" s="7" t="s">
        <v>19</v>
      </c>
      <c r="D209" s="7" t="s">
        <v>1878</v>
      </c>
      <c r="E209" s="7" t="s">
        <v>1879</v>
      </c>
      <c r="F209" s="7" t="s">
        <v>1880</v>
      </c>
      <c r="G209" s="7" t="s">
        <v>1877</v>
      </c>
      <c r="H209" s="7" t="s">
        <v>1881</v>
      </c>
      <c r="J209" s="7" t="s">
        <v>2415</v>
      </c>
    </row>
    <row r="210" spans="1:10">
      <c r="A210" s="7">
        <v>30</v>
      </c>
      <c r="B210" s="7" t="s">
        <v>1728</v>
      </c>
      <c r="C210" s="7" t="s">
        <v>19</v>
      </c>
      <c r="D210" s="7" t="s">
        <v>1882</v>
      </c>
      <c r="E210" s="7" t="s">
        <v>1883</v>
      </c>
      <c r="F210" s="7" t="s">
        <v>1884</v>
      </c>
      <c r="G210" s="7" t="s">
        <v>1741</v>
      </c>
      <c r="H210" s="7" t="s">
        <v>1885</v>
      </c>
      <c r="J210" s="7" t="s">
        <v>2415</v>
      </c>
    </row>
    <row r="211" spans="1:10">
      <c r="A211" s="7">
        <v>31</v>
      </c>
      <c r="B211" s="7" t="s">
        <v>1728</v>
      </c>
      <c r="C211" s="7" t="s">
        <v>19</v>
      </c>
      <c r="D211" s="7" t="s">
        <v>1901</v>
      </c>
      <c r="E211" s="7" t="s">
        <v>1902</v>
      </c>
      <c r="F211" s="7" t="s">
        <v>1903</v>
      </c>
      <c r="G211" s="7" t="s">
        <v>1854</v>
      </c>
      <c r="I211" s="7" t="s">
        <v>1904</v>
      </c>
      <c r="J211" s="7" t="s">
        <v>2415</v>
      </c>
    </row>
    <row r="212" spans="1:10">
      <c r="A212" s="7">
        <v>32</v>
      </c>
      <c r="B212" s="7" t="s">
        <v>1728</v>
      </c>
      <c r="C212" s="7" t="s">
        <v>19</v>
      </c>
      <c r="D212" s="7" t="s">
        <v>1905</v>
      </c>
      <c r="E212" s="7" t="s">
        <v>1906</v>
      </c>
      <c r="F212" s="7" t="s">
        <v>1907</v>
      </c>
      <c r="G212" s="7" t="s">
        <v>1854</v>
      </c>
      <c r="J212" s="7" t="s">
        <v>2415</v>
      </c>
    </row>
    <row r="213" spans="1:10">
      <c r="A213" s="7">
        <v>33</v>
      </c>
      <c r="B213" s="7" t="s">
        <v>1728</v>
      </c>
      <c r="C213" s="7" t="s">
        <v>19</v>
      </c>
      <c r="D213" s="7" t="s">
        <v>1908</v>
      </c>
      <c r="E213" s="7" t="s">
        <v>1909</v>
      </c>
      <c r="F213" s="7" t="s">
        <v>1910</v>
      </c>
      <c r="G213" s="7" t="s">
        <v>1854</v>
      </c>
      <c r="I213" s="7" t="s">
        <v>1911</v>
      </c>
      <c r="J213" s="7" t="s">
        <v>2415</v>
      </c>
    </row>
    <row r="214" spans="1:10">
      <c r="A214" s="7">
        <v>34</v>
      </c>
      <c r="B214" s="7" t="s">
        <v>1728</v>
      </c>
      <c r="C214" s="7" t="s">
        <v>19</v>
      </c>
      <c r="D214" s="7" t="s">
        <v>1912</v>
      </c>
      <c r="E214" s="7" t="s">
        <v>1909</v>
      </c>
      <c r="F214" s="7" t="s">
        <v>1913</v>
      </c>
      <c r="G214" s="7" t="s">
        <v>1854</v>
      </c>
      <c r="J214" s="7" t="s">
        <v>2415</v>
      </c>
    </row>
    <row r="215" spans="1:10">
      <c r="A215" s="7">
        <v>35</v>
      </c>
      <c r="B215" s="7" t="s">
        <v>1728</v>
      </c>
      <c r="C215" s="7" t="s">
        <v>19</v>
      </c>
      <c r="D215" s="7" t="s">
        <v>1914</v>
      </c>
      <c r="E215" s="7" t="s">
        <v>1909</v>
      </c>
      <c r="F215" s="7" t="s">
        <v>1915</v>
      </c>
      <c r="G215" s="7" t="s">
        <v>1791</v>
      </c>
      <c r="J215" s="7" t="s">
        <v>2415</v>
      </c>
    </row>
    <row r="216" spans="1:10">
      <c r="A216" s="7">
        <v>36</v>
      </c>
      <c r="B216" s="7" t="s">
        <v>1728</v>
      </c>
      <c r="C216" s="7" t="s">
        <v>19</v>
      </c>
      <c r="D216" s="7" t="s">
        <v>1916</v>
      </c>
      <c r="E216" s="7" t="s">
        <v>1917</v>
      </c>
      <c r="F216" s="7" t="s">
        <v>1918</v>
      </c>
      <c r="G216" s="7" t="s">
        <v>1791</v>
      </c>
      <c r="H216" s="7" t="s">
        <v>1919</v>
      </c>
      <c r="I216" s="7" t="s">
        <v>1920</v>
      </c>
      <c r="J216" s="7" t="s">
        <v>2415</v>
      </c>
    </row>
    <row r="217" spans="1:10">
      <c r="A217" s="7">
        <v>37</v>
      </c>
      <c r="B217" s="7" t="s">
        <v>1728</v>
      </c>
      <c r="C217" s="7" t="s">
        <v>19</v>
      </c>
      <c r="D217" s="7" t="s">
        <v>2375</v>
      </c>
      <c r="E217" s="7" t="s">
        <v>2376</v>
      </c>
      <c r="F217" s="7" t="s">
        <v>2377</v>
      </c>
      <c r="G217" s="7" t="s">
        <v>1828</v>
      </c>
      <c r="J217" s="7" t="s">
        <v>2415</v>
      </c>
    </row>
    <row r="218" spans="1:10">
      <c r="A218" s="7">
        <v>38</v>
      </c>
      <c r="B218" s="7" t="s">
        <v>1728</v>
      </c>
      <c r="C218" s="7" t="s">
        <v>19</v>
      </c>
      <c r="D218" s="7" t="s">
        <v>1937</v>
      </c>
      <c r="E218" s="7" t="s">
        <v>1938</v>
      </c>
      <c r="F218" s="7" t="s">
        <v>1939</v>
      </c>
      <c r="G218" s="7" t="s">
        <v>1854</v>
      </c>
      <c r="J218" s="7" t="s">
        <v>2415</v>
      </c>
    </row>
    <row r="219" spans="1:10">
      <c r="A219" s="7">
        <v>39</v>
      </c>
      <c r="B219" s="7" t="s">
        <v>1728</v>
      </c>
      <c r="C219" s="7" t="s">
        <v>19</v>
      </c>
      <c r="D219" s="7" t="s">
        <v>1944</v>
      </c>
      <c r="E219" s="7" t="s">
        <v>1945</v>
      </c>
      <c r="F219" s="7" t="s">
        <v>1946</v>
      </c>
      <c r="G219" s="7" t="s">
        <v>1854</v>
      </c>
      <c r="I219" s="7" t="s">
        <v>1947</v>
      </c>
      <c r="J219" s="7" t="s">
        <v>2415</v>
      </c>
    </row>
    <row r="220" spans="1:10">
      <c r="A220" s="7">
        <v>40</v>
      </c>
      <c r="B220" s="7" t="s">
        <v>1728</v>
      </c>
      <c r="C220" s="7" t="s">
        <v>19</v>
      </c>
      <c r="D220" s="7" t="s">
        <v>1948</v>
      </c>
      <c r="E220" s="7" t="s">
        <v>1949</v>
      </c>
      <c r="F220" s="7" t="s">
        <v>1950</v>
      </c>
      <c r="G220" s="7" t="s">
        <v>1854</v>
      </c>
      <c r="I220" s="7" t="s">
        <v>1951</v>
      </c>
      <c r="J220" s="7" t="s">
        <v>2415</v>
      </c>
    </row>
    <row r="221" spans="1:10">
      <c r="A221" s="7">
        <v>41</v>
      </c>
      <c r="B221" s="7" t="s">
        <v>1728</v>
      </c>
      <c r="C221" s="7" t="s">
        <v>19</v>
      </c>
      <c r="D221" s="7" t="s">
        <v>1962</v>
      </c>
      <c r="E221" s="7" t="s">
        <v>1963</v>
      </c>
      <c r="F221" s="7" t="s">
        <v>1964</v>
      </c>
      <c r="G221" s="7" t="s">
        <v>1854</v>
      </c>
      <c r="J221" s="7" t="s">
        <v>2415</v>
      </c>
    </row>
    <row r="222" spans="1:10">
      <c r="A222" s="7">
        <v>42</v>
      </c>
      <c r="B222" s="7" t="s">
        <v>1728</v>
      </c>
      <c r="C222" s="7" t="s">
        <v>19</v>
      </c>
      <c r="D222" s="7" t="s">
        <v>1979</v>
      </c>
      <c r="E222" s="7" t="s">
        <v>1980</v>
      </c>
      <c r="F222" s="7" t="s">
        <v>1981</v>
      </c>
      <c r="G222" s="7" t="s">
        <v>1798</v>
      </c>
      <c r="H222" s="7" t="s">
        <v>1982</v>
      </c>
      <c r="I222" s="7" t="s">
        <v>1983</v>
      </c>
      <c r="J222" s="7" t="s">
        <v>2415</v>
      </c>
    </row>
    <row r="223" spans="1:10">
      <c r="A223" s="7">
        <v>43</v>
      </c>
      <c r="B223" s="7" t="s">
        <v>1728</v>
      </c>
      <c r="C223" s="7" t="s">
        <v>19</v>
      </c>
      <c r="D223" s="7" t="s">
        <v>1984</v>
      </c>
      <c r="E223" s="7" t="s">
        <v>1985</v>
      </c>
      <c r="F223" s="7" t="s">
        <v>1986</v>
      </c>
      <c r="G223" s="7" t="s">
        <v>1791</v>
      </c>
      <c r="J223" s="7" t="s">
        <v>2415</v>
      </c>
    </row>
    <row r="224" spans="1:10">
      <c r="A224" s="7">
        <v>44</v>
      </c>
      <c r="B224" s="7" t="s">
        <v>1728</v>
      </c>
      <c r="C224" s="7" t="s">
        <v>19</v>
      </c>
      <c r="D224" s="7" t="s">
        <v>1987</v>
      </c>
      <c r="E224" s="7" t="s">
        <v>1988</v>
      </c>
      <c r="F224" s="7" t="s">
        <v>1989</v>
      </c>
      <c r="G224" s="7" t="s">
        <v>1955</v>
      </c>
      <c r="I224" s="7" t="s">
        <v>1990</v>
      </c>
      <c r="J224" s="7" t="s">
        <v>2415</v>
      </c>
    </row>
    <row r="225" spans="1:10">
      <c r="A225" s="7">
        <v>45</v>
      </c>
      <c r="B225" s="7" t="s">
        <v>1728</v>
      </c>
      <c r="C225" s="7" t="s">
        <v>19</v>
      </c>
      <c r="D225" s="7" t="s">
        <v>2021</v>
      </c>
      <c r="E225" s="7" t="s">
        <v>2022</v>
      </c>
      <c r="F225" s="7" t="s">
        <v>2023</v>
      </c>
      <c r="G225" s="7" t="s">
        <v>1791</v>
      </c>
      <c r="J225" s="7" t="s">
        <v>2415</v>
      </c>
    </row>
    <row r="226" spans="1:10">
      <c r="A226" s="7">
        <v>46</v>
      </c>
      <c r="B226" s="7" t="s">
        <v>1728</v>
      </c>
      <c r="C226" s="7" t="s">
        <v>19</v>
      </c>
      <c r="D226" s="7" t="s">
        <v>2024</v>
      </c>
      <c r="E226" s="7" t="s">
        <v>2025</v>
      </c>
      <c r="F226" s="7" t="s">
        <v>2026</v>
      </c>
      <c r="G226" s="7" t="s">
        <v>1791</v>
      </c>
      <c r="I226" s="7" t="s">
        <v>2027</v>
      </c>
      <c r="J226" s="7" t="s">
        <v>2415</v>
      </c>
    </row>
    <row r="227" spans="1:10">
      <c r="A227" s="7">
        <v>47</v>
      </c>
      <c r="B227" s="7" t="s">
        <v>1728</v>
      </c>
      <c r="C227" s="7" t="s">
        <v>19</v>
      </c>
      <c r="D227" s="7" t="s">
        <v>2034</v>
      </c>
      <c r="E227" s="7" t="s">
        <v>2035</v>
      </c>
      <c r="F227" s="7" t="s">
        <v>2036</v>
      </c>
      <c r="G227" s="7" t="s">
        <v>1757</v>
      </c>
      <c r="I227" s="7" t="s">
        <v>2037</v>
      </c>
      <c r="J227" s="7" t="s">
        <v>2415</v>
      </c>
    </row>
    <row r="228" spans="1:10">
      <c r="A228" s="7">
        <v>48</v>
      </c>
      <c r="B228" s="7" t="s">
        <v>1728</v>
      </c>
      <c r="C228" s="7" t="s">
        <v>19</v>
      </c>
      <c r="D228" s="7" t="s">
        <v>2038</v>
      </c>
      <c r="E228" s="7" t="s">
        <v>2039</v>
      </c>
      <c r="F228" s="7" t="s">
        <v>2040</v>
      </c>
      <c r="G228" s="7" t="s">
        <v>1854</v>
      </c>
      <c r="J228" s="7" t="s">
        <v>2415</v>
      </c>
    </row>
    <row r="229" spans="1:10">
      <c r="A229" s="7">
        <v>49</v>
      </c>
      <c r="B229" s="7" t="s">
        <v>1728</v>
      </c>
      <c r="C229" s="7" t="s">
        <v>19</v>
      </c>
      <c r="D229" s="7" t="s">
        <v>2054</v>
      </c>
      <c r="E229" s="7" t="s">
        <v>2055</v>
      </c>
      <c r="F229" s="7" t="s">
        <v>2056</v>
      </c>
      <c r="G229" s="7" t="s">
        <v>1955</v>
      </c>
      <c r="J229" s="7" t="s">
        <v>2415</v>
      </c>
    </row>
    <row r="230" spans="1:10">
      <c r="A230" s="7">
        <v>50</v>
      </c>
      <c r="B230" s="7" t="s">
        <v>1728</v>
      </c>
      <c r="C230" s="7" t="s">
        <v>19</v>
      </c>
      <c r="D230" s="7" t="s">
        <v>2057</v>
      </c>
      <c r="E230" s="7" t="s">
        <v>2058</v>
      </c>
      <c r="F230" s="7" t="s">
        <v>2059</v>
      </c>
      <c r="G230" s="7" t="s">
        <v>1741</v>
      </c>
      <c r="I230" s="7" t="s">
        <v>2060</v>
      </c>
      <c r="J230" s="7" t="s">
        <v>2415</v>
      </c>
    </row>
    <row r="231" spans="1:10">
      <c r="A231" s="7">
        <v>51</v>
      </c>
      <c r="B231" s="7" t="s">
        <v>1728</v>
      </c>
      <c r="C231" s="7" t="s">
        <v>19</v>
      </c>
      <c r="D231" s="7" t="s">
        <v>2070</v>
      </c>
      <c r="E231" s="7" t="s">
        <v>2071</v>
      </c>
      <c r="F231" s="7" t="s">
        <v>2072</v>
      </c>
      <c r="G231" s="7" t="s">
        <v>1741</v>
      </c>
      <c r="J231" s="7" t="s">
        <v>2415</v>
      </c>
    </row>
    <row r="232" spans="1:10">
      <c r="A232" s="7">
        <v>52</v>
      </c>
      <c r="B232" s="7" t="s">
        <v>1728</v>
      </c>
      <c r="C232" s="7" t="s">
        <v>19</v>
      </c>
      <c r="D232" s="7" t="s">
        <v>2087</v>
      </c>
      <c r="E232" s="7" t="s">
        <v>2088</v>
      </c>
      <c r="F232" s="7" t="s">
        <v>2089</v>
      </c>
      <c r="G232" s="7" t="s">
        <v>1791</v>
      </c>
      <c r="J232" s="7" t="s">
        <v>2415</v>
      </c>
    </row>
    <row r="233" spans="1:10">
      <c r="A233" s="7">
        <v>53</v>
      </c>
      <c r="B233" s="7" t="s">
        <v>1728</v>
      </c>
      <c r="C233" s="7" t="s">
        <v>19</v>
      </c>
      <c r="D233" s="7" t="s">
        <v>2090</v>
      </c>
      <c r="E233" s="7" t="s">
        <v>2091</v>
      </c>
      <c r="F233" s="7" t="s">
        <v>2092</v>
      </c>
      <c r="G233" s="7" t="s">
        <v>2000</v>
      </c>
      <c r="J233" s="7" t="s">
        <v>2415</v>
      </c>
    </row>
    <row r="234" spans="1:10">
      <c r="A234" s="7">
        <v>54</v>
      </c>
      <c r="B234" s="7" t="s">
        <v>1728</v>
      </c>
      <c r="C234" s="7" t="s">
        <v>19</v>
      </c>
      <c r="D234" s="7" t="s">
        <v>2093</v>
      </c>
      <c r="E234" s="7" t="s">
        <v>2094</v>
      </c>
      <c r="F234" s="7" t="s">
        <v>2095</v>
      </c>
      <c r="G234" s="7" t="s">
        <v>1757</v>
      </c>
      <c r="J234" s="7" t="s">
        <v>2415</v>
      </c>
    </row>
    <row r="235" spans="1:10">
      <c r="A235" s="7">
        <v>55</v>
      </c>
      <c r="B235" s="7" t="s">
        <v>1728</v>
      </c>
      <c r="C235" s="7" t="s">
        <v>19</v>
      </c>
      <c r="D235" s="7" t="s">
        <v>2101</v>
      </c>
      <c r="E235" s="7" t="s">
        <v>2102</v>
      </c>
      <c r="F235" s="7" t="s">
        <v>2103</v>
      </c>
      <c r="G235" s="7" t="s">
        <v>1798</v>
      </c>
      <c r="J235" s="7" t="s">
        <v>2415</v>
      </c>
    </row>
    <row r="236" spans="1:10">
      <c r="A236" s="7">
        <v>56</v>
      </c>
      <c r="B236" s="7" t="s">
        <v>1728</v>
      </c>
      <c r="C236" s="7" t="s">
        <v>19</v>
      </c>
      <c r="D236" s="7" t="s">
        <v>2104</v>
      </c>
      <c r="E236" s="7" t="s">
        <v>2105</v>
      </c>
      <c r="F236" s="7" t="s">
        <v>2106</v>
      </c>
      <c r="G236" s="7" t="s">
        <v>1745</v>
      </c>
      <c r="I236" s="7" t="s">
        <v>2107</v>
      </c>
      <c r="J236" s="7" t="s">
        <v>2415</v>
      </c>
    </row>
    <row r="237" spans="1:10">
      <c r="A237" s="7">
        <v>57</v>
      </c>
      <c r="B237" s="7" t="s">
        <v>1728</v>
      </c>
      <c r="C237" s="7" t="s">
        <v>19</v>
      </c>
      <c r="D237" s="7" t="s">
        <v>2108</v>
      </c>
      <c r="E237" s="7" t="s">
        <v>2109</v>
      </c>
      <c r="F237" s="7" t="s">
        <v>2110</v>
      </c>
      <c r="G237" s="7" t="s">
        <v>1854</v>
      </c>
      <c r="I237" s="7" t="s">
        <v>2111</v>
      </c>
      <c r="J237" s="7" t="s">
        <v>2415</v>
      </c>
    </row>
    <row r="238" spans="1:10">
      <c r="A238" s="7">
        <v>58</v>
      </c>
      <c r="B238" s="7" t="s">
        <v>1728</v>
      </c>
      <c r="C238" s="7" t="s">
        <v>19</v>
      </c>
      <c r="D238" s="7" t="s">
        <v>2119</v>
      </c>
      <c r="E238" s="7" t="s">
        <v>2120</v>
      </c>
      <c r="F238" s="7" t="s">
        <v>2121</v>
      </c>
      <c r="G238" s="7" t="s">
        <v>1757</v>
      </c>
      <c r="I238" s="7" t="s">
        <v>1900</v>
      </c>
      <c r="J238" s="7" t="s">
        <v>2415</v>
      </c>
    </row>
    <row r="239" spans="1:10">
      <c r="A239" s="7">
        <v>59</v>
      </c>
      <c r="B239" s="7" t="s">
        <v>1728</v>
      </c>
      <c r="C239" s="7" t="s">
        <v>19</v>
      </c>
      <c r="D239" s="7" t="s">
        <v>2129</v>
      </c>
      <c r="E239" s="7" t="s">
        <v>2130</v>
      </c>
      <c r="F239" s="7" t="s">
        <v>2131</v>
      </c>
      <c r="G239" s="7" t="s">
        <v>1854</v>
      </c>
      <c r="I239" s="7" t="s">
        <v>2132</v>
      </c>
      <c r="J239" s="7" t="s">
        <v>2415</v>
      </c>
    </row>
    <row r="240" spans="1:10">
      <c r="A240" s="7">
        <v>60</v>
      </c>
      <c r="B240" s="7" t="s">
        <v>1728</v>
      </c>
      <c r="C240" s="7" t="s">
        <v>19</v>
      </c>
      <c r="D240" s="7" t="s">
        <v>2137</v>
      </c>
      <c r="E240" s="7" t="s">
        <v>2138</v>
      </c>
      <c r="F240" s="7" t="s">
        <v>2139</v>
      </c>
      <c r="G240" s="7" t="s">
        <v>1828</v>
      </c>
      <c r="J240" s="7" t="s">
        <v>2415</v>
      </c>
    </row>
    <row r="241" spans="1:10">
      <c r="A241" s="7">
        <v>61</v>
      </c>
      <c r="B241" s="7" t="s">
        <v>1728</v>
      </c>
      <c r="C241" s="7" t="s">
        <v>19</v>
      </c>
      <c r="D241" s="7" t="s">
        <v>2378</v>
      </c>
      <c r="E241" s="7" t="s">
        <v>2379</v>
      </c>
      <c r="F241" s="7" t="s">
        <v>2380</v>
      </c>
      <c r="G241" s="7" t="s">
        <v>1780</v>
      </c>
      <c r="J241" s="7" t="s">
        <v>2415</v>
      </c>
    </row>
    <row r="242" spans="1:10">
      <c r="A242" s="7">
        <v>62</v>
      </c>
      <c r="B242" s="7" t="s">
        <v>1728</v>
      </c>
      <c r="C242" s="7" t="s">
        <v>19</v>
      </c>
      <c r="D242" s="7" t="s">
        <v>2144</v>
      </c>
      <c r="E242" s="7" t="s">
        <v>2145</v>
      </c>
      <c r="F242" s="7" t="s">
        <v>2146</v>
      </c>
      <c r="G242" s="7" t="s">
        <v>1757</v>
      </c>
      <c r="H242" s="7" t="s">
        <v>2147</v>
      </c>
      <c r="J242" s="7" t="s">
        <v>2415</v>
      </c>
    </row>
    <row r="243" spans="1:10">
      <c r="A243" s="7">
        <v>63</v>
      </c>
      <c r="B243" s="7" t="s">
        <v>1728</v>
      </c>
      <c r="C243" s="7" t="s">
        <v>19</v>
      </c>
      <c r="D243" s="7" t="s">
        <v>2381</v>
      </c>
      <c r="E243" s="7" t="s">
        <v>2382</v>
      </c>
      <c r="F243" s="7" t="s">
        <v>2383</v>
      </c>
      <c r="G243" s="7" t="s">
        <v>1757</v>
      </c>
      <c r="J243" s="7" t="s">
        <v>2415</v>
      </c>
    </row>
    <row r="244" spans="1:10">
      <c r="A244" s="7">
        <v>64</v>
      </c>
      <c r="B244" s="7" t="s">
        <v>1728</v>
      </c>
      <c r="C244" s="7" t="s">
        <v>19</v>
      </c>
      <c r="D244" s="7" t="s">
        <v>2152</v>
      </c>
      <c r="E244" s="7" t="s">
        <v>2153</v>
      </c>
      <c r="F244" s="7" t="s">
        <v>2154</v>
      </c>
      <c r="G244" s="7" t="s">
        <v>1791</v>
      </c>
      <c r="H244" s="7" t="s">
        <v>2155</v>
      </c>
      <c r="I244" s="7" t="s">
        <v>2156</v>
      </c>
      <c r="J244" s="7" t="s">
        <v>2415</v>
      </c>
    </row>
    <row r="245" spans="1:10">
      <c r="A245" s="7">
        <v>65</v>
      </c>
      <c r="B245" s="7" t="s">
        <v>1728</v>
      </c>
      <c r="C245" s="7" t="s">
        <v>19</v>
      </c>
      <c r="D245" s="7" t="s">
        <v>2157</v>
      </c>
      <c r="E245" s="7" t="s">
        <v>2153</v>
      </c>
      <c r="F245" s="7" t="s">
        <v>2158</v>
      </c>
      <c r="G245" s="7" t="s">
        <v>1791</v>
      </c>
      <c r="J245" s="7" t="s">
        <v>2415</v>
      </c>
    </row>
    <row r="246" spans="1:10">
      <c r="A246" s="7">
        <v>66</v>
      </c>
      <c r="B246" s="7" t="s">
        <v>1728</v>
      </c>
      <c r="C246" s="7" t="s">
        <v>19</v>
      </c>
      <c r="D246" s="7" t="s">
        <v>2159</v>
      </c>
      <c r="E246" s="7" t="s">
        <v>2153</v>
      </c>
      <c r="F246" s="7" t="s">
        <v>2160</v>
      </c>
      <c r="G246" s="7" t="s">
        <v>1745</v>
      </c>
      <c r="J246" s="7" t="s">
        <v>2415</v>
      </c>
    </row>
    <row r="247" spans="1:10">
      <c r="A247" s="7">
        <v>67</v>
      </c>
      <c r="B247" s="7" t="s">
        <v>1728</v>
      </c>
      <c r="C247" s="7" t="s">
        <v>19</v>
      </c>
      <c r="D247" s="7" t="s">
        <v>2161</v>
      </c>
      <c r="E247" s="7" t="s">
        <v>2162</v>
      </c>
      <c r="F247" s="7" t="s">
        <v>2163</v>
      </c>
      <c r="G247" s="7" t="s">
        <v>1791</v>
      </c>
      <c r="J247" s="7" t="s">
        <v>2415</v>
      </c>
    </row>
    <row r="248" spans="1:10">
      <c r="A248" s="7">
        <v>68</v>
      </c>
      <c r="B248" s="7" t="s">
        <v>1728</v>
      </c>
      <c r="C248" s="7" t="s">
        <v>19</v>
      </c>
      <c r="D248" s="7" t="s">
        <v>2384</v>
      </c>
      <c r="E248" s="7" t="s">
        <v>2385</v>
      </c>
      <c r="F248" s="7" t="s">
        <v>2386</v>
      </c>
      <c r="G248" s="7" t="s">
        <v>1780</v>
      </c>
      <c r="J248" s="7" t="s">
        <v>2415</v>
      </c>
    </row>
    <row r="249" spans="1:10">
      <c r="A249" s="7">
        <v>69</v>
      </c>
      <c r="B249" s="7" t="s">
        <v>1728</v>
      </c>
      <c r="C249" s="7" t="s">
        <v>19</v>
      </c>
      <c r="D249" s="7" t="s">
        <v>2168</v>
      </c>
      <c r="E249" s="7" t="s">
        <v>2169</v>
      </c>
      <c r="F249" s="7" t="s">
        <v>2170</v>
      </c>
      <c r="G249" s="7" t="s">
        <v>1854</v>
      </c>
      <c r="J249" s="7" t="s">
        <v>2415</v>
      </c>
    </row>
    <row r="250" spans="1:10">
      <c r="A250" s="7">
        <v>70</v>
      </c>
      <c r="B250" s="7" t="s">
        <v>1728</v>
      </c>
      <c r="C250" s="7" t="s">
        <v>19</v>
      </c>
      <c r="D250" s="7" t="s">
        <v>2171</v>
      </c>
      <c r="E250" s="7" t="s">
        <v>2172</v>
      </c>
      <c r="F250" s="7" t="s">
        <v>2173</v>
      </c>
      <c r="G250" s="7" t="s">
        <v>1798</v>
      </c>
      <c r="J250" s="7" t="s">
        <v>2415</v>
      </c>
    </row>
    <row r="251" spans="1:10">
      <c r="A251" s="7">
        <v>71</v>
      </c>
      <c r="B251" s="7" t="s">
        <v>1728</v>
      </c>
      <c r="C251" s="7" t="s">
        <v>19</v>
      </c>
      <c r="D251" s="7" t="s">
        <v>2184</v>
      </c>
      <c r="E251" s="7" t="s">
        <v>2185</v>
      </c>
      <c r="F251" s="7" t="s">
        <v>2186</v>
      </c>
      <c r="G251" s="7" t="s">
        <v>1736</v>
      </c>
      <c r="H251" s="7" t="s">
        <v>2187</v>
      </c>
      <c r="J251" s="7" t="s">
        <v>2415</v>
      </c>
    </row>
    <row r="252" spans="1:10">
      <c r="A252" s="7">
        <v>72</v>
      </c>
      <c r="B252" s="7" t="s">
        <v>1728</v>
      </c>
      <c r="C252" s="7" t="s">
        <v>19</v>
      </c>
      <c r="D252" s="7" t="s">
        <v>2188</v>
      </c>
      <c r="E252" s="7" t="s">
        <v>2185</v>
      </c>
      <c r="F252" s="7" t="s">
        <v>2189</v>
      </c>
      <c r="G252" s="7" t="s">
        <v>2000</v>
      </c>
      <c r="J252" s="7" t="s">
        <v>2415</v>
      </c>
    </row>
    <row r="253" spans="1:10">
      <c r="A253" s="7">
        <v>73</v>
      </c>
      <c r="B253" s="7" t="s">
        <v>1728</v>
      </c>
      <c r="C253" s="7" t="s">
        <v>19</v>
      </c>
      <c r="D253" s="7" t="s">
        <v>2387</v>
      </c>
      <c r="E253" s="7" t="s">
        <v>2388</v>
      </c>
      <c r="F253" s="7" t="s">
        <v>2389</v>
      </c>
      <c r="G253" s="7" t="s">
        <v>1877</v>
      </c>
      <c r="I253" s="7" t="s">
        <v>2390</v>
      </c>
      <c r="J253" s="7" t="s">
        <v>2415</v>
      </c>
    </row>
    <row r="254" spans="1:10">
      <c r="A254" s="7">
        <v>74</v>
      </c>
      <c r="B254" s="7" t="s">
        <v>1728</v>
      </c>
      <c r="C254" s="7" t="s">
        <v>19</v>
      </c>
      <c r="D254" s="7" t="s">
        <v>2190</v>
      </c>
      <c r="E254" s="7" t="s">
        <v>2191</v>
      </c>
      <c r="F254" s="7" t="s">
        <v>2192</v>
      </c>
      <c r="G254" s="7" t="s">
        <v>1798</v>
      </c>
      <c r="J254" s="7" t="s">
        <v>2415</v>
      </c>
    </row>
    <row r="255" spans="1:10">
      <c r="A255" s="7">
        <v>75</v>
      </c>
      <c r="B255" s="7" t="s">
        <v>1728</v>
      </c>
      <c r="C255" s="7" t="s">
        <v>19</v>
      </c>
      <c r="D255" s="7" t="s">
        <v>2193</v>
      </c>
      <c r="E255" s="7" t="s">
        <v>2194</v>
      </c>
      <c r="F255" s="7" t="s">
        <v>2195</v>
      </c>
      <c r="G255" s="7" t="s">
        <v>1757</v>
      </c>
      <c r="J255" s="7" t="s">
        <v>2415</v>
      </c>
    </row>
    <row r="256" spans="1:10">
      <c r="A256" s="7">
        <v>76</v>
      </c>
      <c r="B256" s="7" t="s">
        <v>1728</v>
      </c>
      <c r="C256" s="7" t="s">
        <v>19</v>
      </c>
      <c r="D256" s="7" t="s">
        <v>2199</v>
      </c>
      <c r="E256" s="7" t="s">
        <v>2200</v>
      </c>
      <c r="F256" s="7" t="s">
        <v>2201</v>
      </c>
      <c r="G256" s="7" t="s">
        <v>1791</v>
      </c>
      <c r="I256" s="7" t="s">
        <v>2202</v>
      </c>
      <c r="J256" s="7" t="s">
        <v>2415</v>
      </c>
    </row>
    <row r="257" spans="1:10">
      <c r="A257" s="7">
        <v>77</v>
      </c>
      <c r="B257" s="7" t="s">
        <v>1728</v>
      </c>
      <c r="C257" s="7" t="s">
        <v>19</v>
      </c>
      <c r="D257" s="7" t="s">
        <v>2210</v>
      </c>
      <c r="E257" s="7" t="s">
        <v>2211</v>
      </c>
      <c r="F257" s="7" t="s">
        <v>2212</v>
      </c>
      <c r="G257" s="7" t="s">
        <v>1798</v>
      </c>
      <c r="H257" s="7" t="s">
        <v>2213</v>
      </c>
      <c r="J257" s="7" t="s">
        <v>2415</v>
      </c>
    </row>
    <row r="258" spans="1:10">
      <c r="A258" s="7">
        <v>78</v>
      </c>
      <c r="B258" s="7" t="s">
        <v>1728</v>
      </c>
      <c r="C258" s="7" t="s">
        <v>19</v>
      </c>
      <c r="D258" s="7" t="s">
        <v>2214</v>
      </c>
      <c r="E258" s="7" t="s">
        <v>2215</v>
      </c>
      <c r="F258" s="7" t="s">
        <v>2216</v>
      </c>
      <c r="G258" s="7" t="s">
        <v>1780</v>
      </c>
      <c r="J258" s="7" t="s">
        <v>2415</v>
      </c>
    </row>
    <row r="259" spans="1:10">
      <c r="A259" s="7">
        <v>79</v>
      </c>
      <c r="B259" s="7" t="s">
        <v>1728</v>
      </c>
      <c r="C259" s="7" t="s">
        <v>19</v>
      </c>
      <c r="D259" s="7" t="s">
        <v>2221</v>
      </c>
      <c r="E259" s="7" t="s">
        <v>2222</v>
      </c>
      <c r="F259" s="7" t="s">
        <v>2223</v>
      </c>
      <c r="G259" s="7" t="s">
        <v>1757</v>
      </c>
      <c r="J259" s="7" t="s">
        <v>2415</v>
      </c>
    </row>
    <row r="260" spans="1:10">
      <c r="A260" s="7">
        <v>80</v>
      </c>
      <c r="B260" s="7" t="s">
        <v>1728</v>
      </c>
      <c r="C260" s="7" t="s">
        <v>19</v>
      </c>
      <c r="D260" s="7" t="s">
        <v>2224</v>
      </c>
      <c r="E260" s="7" t="s">
        <v>2225</v>
      </c>
      <c r="F260" s="7" t="s">
        <v>2226</v>
      </c>
      <c r="G260" s="7" t="s">
        <v>1757</v>
      </c>
      <c r="J260" s="7" t="s">
        <v>2415</v>
      </c>
    </row>
    <row r="261" spans="1:10">
      <c r="A261" s="7">
        <v>81</v>
      </c>
      <c r="B261" s="7" t="s">
        <v>1728</v>
      </c>
      <c r="C261" s="7" t="s">
        <v>19</v>
      </c>
      <c r="D261" s="7" t="s">
        <v>2230</v>
      </c>
      <c r="E261" s="7" t="s">
        <v>2231</v>
      </c>
      <c r="F261" s="7" t="s">
        <v>2232</v>
      </c>
      <c r="G261" s="7" t="s">
        <v>1757</v>
      </c>
      <c r="J261" s="7" t="s">
        <v>2415</v>
      </c>
    </row>
    <row r="262" spans="1:10">
      <c r="A262" s="7">
        <v>82</v>
      </c>
      <c r="B262" s="7" t="s">
        <v>1728</v>
      </c>
      <c r="C262" s="7" t="s">
        <v>19</v>
      </c>
      <c r="D262" s="7" t="s">
        <v>2233</v>
      </c>
      <c r="E262" s="7" t="s">
        <v>2234</v>
      </c>
      <c r="F262" s="7" t="s">
        <v>2235</v>
      </c>
      <c r="G262" s="7" t="s">
        <v>1791</v>
      </c>
      <c r="H262" s="7" t="s">
        <v>2236</v>
      </c>
      <c r="J262" s="7" t="s">
        <v>2415</v>
      </c>
    </row>
    <row r="263" spans="1:10">
      <c r="A263" s="7">
        <v>83</v>
      </c>
      <c r="B263" s="7" t="s">
        <v>1728</v>
      </c>
      <c r="C263" s="7" t="s">
        <v>19</v>
      </c>
      <c r="D263" s="7" t="s">
        <v>2391</v>
      </c>
      <c r="E263" s="7" t="s">
        <v>2392</v>
      </c>
      <c r="F263" s="7" t="s">
        <v>2393</v>
      </c>
      <c r="G263" s="7" t="s">
        <v>1780</v>
      </c>
      <c r="J263" s="7" t="s">
        <v>2415</v>
      </c>
    </row>
    <row r="264" spans="1:10">
      <c r="A264" s="7">
        <v>84</v>
      </c>
      <c r="B264" s="7" t="s">
        <v>1728</v>
      </c>
      <c r="C264" s="7" t="s">
        <v>19</v>
      </c>
      <c r="D264" s="7" t="s">
        <v>2240</v>
      </c>
      <c r="E264" s="7" t="s">
        <v>2241</v>
      </c>
      <c r="F264" s="7" t="s">
        <v>2242</v>
      </c>
      <c r="G264" s="7" t="s">
        <v>1780</v>
      </c>
      <c r="J264" s="7" t="s">
        <v>2415</v>
      </c>
    </row>
    <row r="265" spans="1:10">
      <c r="A265" s="7">
        <v>85</v>
      </c>
      <c r="B265" s="7" t="s">
        <v>1728</v>
      </c>
      <c r="C265" s="7" t="s">
        <v>19</v>
      </c>
      <c r="D265" s="7" t="s">
        <v>2243</v>
      </c>
      <c r="E265" s="7" t="s">
        <v>2244</v>
      </c>
      <c r="F265" s="7" t="s">
        <v>2245</v>
      </c>
      <c r="G265" s="7" t="s">
        <v>1736</v>
      </c>
      <c r="J265" s="7" t="s">
        <v>2415</v>
      </c>
    </row>
    <row r="266" spans="1:10">
      <c r="A266" s="7">
        <v>86</v>
      </c>
      <c r="B266" s="7" t="s">
        <v>1728</v>
      </c>
      <c r="C266" s="7" t="s">
        <v>19</v>
      </c>
      <c r="D266" s="7" t="s">
        <v>2249</v>
      </c>
      <c r="E266" s="7" t="s">
        <v>2250</v>
      </c>
      <c r="F266" s="7" t="s">
        <v>2251</v>
      </c>
      <c r="G266" s="7" t="s">
        <v>1791</v>
      </c>
      <c r="J266" s="7" t="s">
        <v>2415</v>
      </c>
    </row>
    <row r="267" spans="1:10">
      <c r="A267" s="7">
        <v>87</v>
      </c>
      <c r="B267" s="7" t="s">
        <v>1728</v>
      </c>
      <c r="C267" s="7" t="s">
        <v>19</v>
      </c>
      <c r="D267" s="7" t="s">
        <v>2252</v>
      </c>
      <c r="E267" s="7" t="s">
        <v>2253</v>
      </c>
      <c r="F267" s="7" t="s">
        <v>2254</v>
      </c>
      <c r="G267" s="7" t="s">
        <v>2255</v>
      </c>
      <c r="H267" s="7" t="s">
        <v>2256</v>
      </c>
      <c r="J267" s="7" t="s">
        <v>2415</v>
      </c>
    </row>
    <row r="268" spans="1:10">
      <c r="A268" s="7">
        <v>88</v>
      </c>
      <c r="B268" s="7" t="s">
        <v>1728</v>
      </c>
      <c r="C268" s="7" t="s">
        <v>19</v>
      </c>
      <c r="D268" s="7" t="s">
        <v>2257</v>
      </c>
      <c r="E268" s="7" t="s">
        <v>2258</v>
      </c>
      <c r="F268" s="7" t="s">
        <v>2259</v>
      </c>
      <c r="G268" s="7" t="s">
        <v>1745</v>
      </c>
      <c r="J268" s="7" t="s">
        <v>2415</v>
      </c>
    </row>
    <row r="269" spans="1:10">
      <c r="A269" s="7">
        <v>89</v>
      </c>
      <c r="B269" s="7" t="s">
        <v>1728</v>
      </c>
      <c r="C269" s="7" t="s">
        <v>19</v>
      </c>
      <c r="D269" s="7" t="s">
        <v>2394</v>
      </c>
      <c r="E269" s="7" t="s">
        <v>2395</v>
      </c>
      <c r="F269" s="7" t="s">
        <v>2396</v>
      </c>
      <c r="G269" s="7" t="s">
        <v>1780</v>
      </c>
      <c r="J269" s="7" t="s">
        <v>2415</v>
      </c>
    </row>
    <row r="270" spans="1:10">
      <c r="A270" s="7">
        <v>90</v>
      </c>
      <c r="B270" s="7" t="s">
        <v>1728</v>
      </c>
      <c r="C270" s="7" t="s">
        <v>19</v>
      </c>
      <c r="D270" s="7" t="s">
        <v>2267</v>
      </c>
      <c r="E270" s="7" t="s">
        <v>2268</v>
      </c>
      <c r="F270" s="7" t="s">
        <v>2269</v>
      </c>
      <c r="G270" s="7" t="s">
        <v>1791</v>
      </c>
      <c r="I270" s="7" t="s">
        <v>2027</v>
      </c>
      <c r="J270" s="7" t="s">
        <v>2415</v>
      </c>
    </row>
    <row r="271" spans="1:10">
      <c r="A271" s="7">
        <v>91</v>
      </c>
      <c r="B271" s="7" t="s">
        <v>1728</v>
      </c>
      <c r="C271" s="7" t="s">
        <v>19</v>
      </c>
      <c r="D271" s="7" t="s">
        <v>2270</v>
      </c>
      <c r="E271" s="7" t="s">
        <v>2271</v>
      </c>
      <c r="F271" s="7" t="s">
        <v>2272</v>
      </c>
      <c r="G271" s="7" t="s">
        <v>1791</v>
      </c>
      <c r="H271" s="7" t="s">
        <v>2273</v>
      </c>
      <c r="J271" s="7" t="s">
        <v>2415</v>
      </c>
    </row>
    <row r="272" spans="1:10">
      <c r="A272" s="7">
        <v>92</v>
      </c>
      <c r="B272" s="7" t="s">
        <v>1728</v>
      </c>
      <c r="C272" s="7" t="s">
        <v>19</v>
      </c>
      <c r="D272" s="7" t="s">
        <v>2274</v>
      </c>
      <c r="E272" s="7" t="s">
        <v>2275</v>
      </c>
      <c r="F272" s="7" t="s">
        <v>2276</v>
      </c>
      <c r="G272" s="7" t="s">
        <v>1780</v>
      </c>
      <c r="J272" s="7" t="s">
        <v>2415</v>
      </c>
    </row>
    <row r="273" spans="1:10">
      <c r="A273" s="7">
        <v>93</v>
      </c>
      <c r="B273" s="7" t="s">
        <v>1728</v>
      </c>
      <c r="C273" s="7" t="s">
        <v>19</v>
      </c>
      <c r="D273" s="7" t="s">
        <v>2397</v>
      </c>
      <c r="E273" s="7" t="s">
        <v>2398</v>
      </c>
      <c r="F273" s="7" t="s">
        <v>2399</v>
      </c>
      <c r="G273" s="7" t="s">
        <v>1780</v>
      </c>
      <c r="J273" s="7" t="s">
        <v>2415</v>
      </c>
    </row>
    <row r="274" spans="1:10">
      <c r="A274" s="7">
        <v>94</v>
      </c>
      <c r="B274" s="7" t="s">
        <v>1728</v>
      </c>
      <c r="C274" s="7" t="s">
        <v>19</v>
      </c>
      <c r="D274" s="7" t="s">
        <v>2285</v>
      </c>
      <c r="E274" s="7" t="s">
        <v>2286</v>
      </c>
      <c r="F274" s="7" t="s">
        <v>2287</v>
      </c>
      <c r="G274" s="7" t="s">
        <v>2288</v>
      </c>
      <c r="H274" s="7" t="s">
        <v>2289</v>
      </c>
      <c r="J274" s="7" t="s">
        <v>2415</v>
      </c>
    </row>
    <row r="275" spans="1:10">
      <c r="A275" s="7">
        <v>95</v>
      </c>
      <c r="B275" s="7" t="s">
        <v>1728</v>
      </c>
      <c r="C275" s="7" t="s">
        <v>19</v>
      </c>
      <c r="D275" s="7" t="s">
        <v>2290</v>
      </c>
      <c r="E275" s="7" t="s">
        <v>2291</v>
      </c>
      <c r="F275" s="7" t="s">
        <v>2292</v>
      </c>
      <c r="G275" s="7" t="s">
        <v>1791</v>
      </c>
      <c r="I275" s="7" t="s">
        <v>2293</v>
      </c>
      <c r="J275" s="7" t="s">
        <v>2415</v>
      </c>
    </row>
    <row r="276" spans="1:10">
      <c r="A276" s="7">
        <v>96</v>
      </c>
      <c r="B276" s="7" t="s">
        <v>1728</v>
      </c>
      <c r="C276" s="7" t="s">
        <v>19</v>
      </c>
      <c r="D276" s="7" t="s">
        <v>2400</v>
      </c>
      <c r="E276" s="7" t="s">
        <v>2401</v>
      </c>
      <c r="F276" s="7" t="s">
        <v>2402</v>
      </c>
      <c r="G276" s="7" t="s">
        <v>1780</v>
      </c>
      <c r="H276" s="7" t="s">
        <v>2403</v>
      </c>
      <c r="J276" s="7" t="s">
        <v>2415</v>
      </c>
    </row>
    <row r="277" spans="1:10">
      <c r="A277" s="7">
        <v>97</v>
      </c>
      <c r="B277" s="7" t="s">
        <v>1728</v>
      </c>
      <c r="C277" s="7" t="s">
        <v>19</v>
      </c>
      <c r="D277" s="7" t="s">
        <v>2404</v>
      </c>
      <c r="E277" s="7" t="s">
        <v>2405</v>
      </c>
      <c r="F277" s="7" t="s">
        <v>2406</v>
      </c>
      <c r="G277" s="7" t="s">
        <v>1736</v>
      </c>
      <c r="H277" s="7" t="s">
        <v>2407</v>
      </c>
      <c r="J277" s="7" t="s">
        <v>2415</v>
      </c>
    </row>
    <row r="278" spans="1:10">
      <c r="A278" s="7">
        <v>98</v>
      </c>
      <c r="B278" s="7" t="s">
        <v>1728</v>
      </c>
      <c r="C278" s="7" t="s">
        <v>19</v>
      </c>
      <c r="D278" s="7" t="s">
        <v>2408</v>
      </c>
      <c r="E278" s="7" t="s">
        <v>2409</v>
      </c>
      <c r="F278" s="7" t="s">
        <v>2410</v>
      </c>
      <c r="G278" s="7" t="s">
        <v>1757</v>
      </c>
      <c r="H278" s="7" t="s">
        <v>2411</v>
      </c>
      <c r="I278" s="7" t="s">
        <v>1737</v>
      </c>
      <c r="J278" s="7" t="s">
        <v>2415</v>
      </c>
    </row>
    <row r="279" spans="1:10">
      <c r="A279" s="7">
        <v>99</v>
      </c>
      <c r="B279" s="7" t="s">
        <v>1728</v>
      </c>
      <c r="C279" s="7" t="s">
        <v>19</v>
      </c>
      <c r="D279" s="7" t="s">
        <v>2301</v>
      </c>
      <c r="E279" s="7" t="s">
        <v>2302</v>
      </c>
      <c r="F279" s="7" t="s">
        <v>2303</v>
      </c>
      <c r="G279" s="7" t="s">
        <v>1757</v>
      </c>
      <c r="J279" s="7" t="s">
        <v>2415</v>
      </c>
    </row>
    <row r="280" spans="1:10">
      <c r="A280" s="7">
        <v>100</v>
      </c>
      <c r="B280" s="7" t="s">
        <v>1728</v>
      </c>
      <c r="C280" s="7" t="s">
        <v>19</v>
      </c>
      <c r="D280" s="7" t="s">
        <v>2335</v>
      </c>
      <c r="E280" s="7" t="s">
        <v>2336</v>
      </c>
      <c r="F280" s="7" t="s">
        <v>2337</v>
      </c>
      <c r="G280" s="7" t="s">
        <v>1745</v>
      </c>
      <c r="J280" s="7" t="s">
        <v>2415</v>
      </c>
    </row>
    <row r="281" spans="1:10">
      <c r="A281" s="7">
        <v>101</v>
      </c>
      <c r="B281" s="7" t="s">
        <v>1728</v>
      </c>
      <c r="C281" s="7" t="s">
        <v>19</v>
      </c>
      <c r="D281" s="7" t="s">
        <v>2412</v>
      </c>
      <c r="E281" s="7" t="s">
        <v>2413</v>
      </c>
      <c r="F281" s="7" t="s">
        <v>2361</v>
      </c>
      <c r="G281" s="7" t="s">
        <v>2414</v>
      </c>
      <c r="J281" s="7" t="s">
        <v>2415</v>
      </c>
    </row>
    <row r="282" spans="1:10">
      <c r="A282" s="7">
        <v>102</v>
      </c>
      <c r="B282" s="7" t="s">
        <v>1728</v>
      </c>
      <c r="C282" s="7" t="s">
        <v>19</v>
      </c>
      <c r="D282" s="7" t="s">
        <v>2344</v>
      </c>
      <c r="E282" s="7" t="s">
        <v>2345</v>
      </c>
      <c r="F282" s="7" t="s">
        <v>2346</v>
      </c>
      <c r="G282" s="7" t="s">
        <v>1791</v>
      </c>
      <c r="J282" s="7" t="s">
        <v>2415</v>
      </c>
    </row>
    <row r="283" spans="1:10">
      <c r="A283" s="7">
        <v>103</v>
      </c>
      <c r="B283" s="7" t="s">
        <v>1728</v>
      </c>
      <c r="C283" s="7" t="s">
        <v>19</v>
      </c>
      <c r="D283" s="7" t="s">
        <v>2347</v>
      </c>
      <c r="E283" s="7" t="s">
        <v>2348</v>
      </c>
      <c r="F283" s="7" t="s">
        <v>2349</v>
      </c>
      <c r="G283" s="7" t="s">
        <v>2350</v>
      </c>
      <c r="I283" s="7" t="s">
        <v>2351</v>
      </c>
      <c r="J283" s="7" t="s">
        <v>2415</v>
      </c>
    </row>
    <row r="284" spans="1:10">
      <c r="A284" s="7">
        <v>104</v>
      </c>
      <c r="B284" s="7" t="s">
        <v>1728</v>
      </c>
      <c r="C284" s="7" t="s">
        <v>19</v>
      </c>
      <c r="D284" s="7" t="s">
        <v>2355</v>
      </c>
      <c r="E284" s="7" t="s">
        <v>2356</v>
      </c>
      <c r="F284" s="7" t="s">
        <v>2357</v>
      </c>
      <c r="G284" s="7" t="s">
        <v>2358</v>
      </c>
      <c r="J284" s="7" t="s">
        <v>2415</v>
      </c>
    </row>
    <row r="285" spans="1:10">
      <c r="A285" s="7">
        <v>105</v>
      </c>
      <c r="B285" s="7" t="s">
        <v>1728</v>
      </c>
      <c r="C285" s="7" t="s">
        <v>19</v>
      </c>
      <c r="D285" s="7" t="s">
        <v>2359</v>
      </c>
      <c r="E285" s="7" t="s">
        <v>2360</v>
      </c>
      <c r="F285" s="7" t="s">
        <v>2361</v>
      </c>
      <c r="G285" s="7" t="s">
        <v>2362</v>
      </c>
      <c r="J285" s="7" t="s">
        <v>2415</v>
      </c>
    </row>
  </sheetData>
  <sheetProtection formatColumns="0" formatRows="0"/>
  <phoneticPr fontId="14" type="noConversion"/>
  <pageMargins left="0.75" right="0.75" top="1" bottom="1" header="0.5" footer="0.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K6"/>
  <sheetViews>
    <sheetView showGridLines="0" zoomScaleNormal="100" workbookViewId="0"/>
  </sheetViews>
  <sheetFormatPr defaultRowHeight="11.4"/>
  <sheetData>
    <row r="1" spans="1:11">
      <c r="A1" s="602" t="s">
        <v>2905</v>
      </c>
      <c r="B1" s="602" t="s">
        <v>2906</v>
      </c>
      <c r="C1" s="602" t="s">
        <v>2907</v>
      </c>
      <c r="D1" s="602" t="s">
        <v>2908</v>
      </c>
      <c r="E1" s="602" t="s">
        <v>2909</v>
      </c>
      <c r="F1" s="602" t="s">
        <v>2910</v>
      </c>
      <c r="G1" s="602" t="s">
        <v>2911</v>
      </c>
      <c r="H1" s="602" t="s">
        <v>2912</v>
      </c>
      <c r="I1" s="602" t="s">
        <v>2913</v>
      </c>
      <c r="J1" s="602" t="s">
        <v>2914</v>
      </c>
      <c r="K1" s="602" t="s">
        <v>2915</v>
      </c>
    </row>
    <row r="2" spans="1:11">
      <c r="A2" s="602"/>
      <c r="B2" s="602"/>
      <c r="C2" s="602"/>
      <c r="D2" s="602"/>
      <c r="E2" s="602" t="s">
        <v>2916</v>
      </c>
      <c r="F2" s="602" t="s">
        <v>2917</v>
      </c>
      <c r="G2" s="602"/>
      <c r="H2" s="602"/>
      <c r="I2" s="602"/>
      <c r="J2" s="602"/>
      <c r="K2" s="602"/>
    </row>
    <row r="3" spans="1:11">
      <c r="A3" s="602"/>
      <c r="B3" s="602"/>
      <c r="C3" s="602"/>
      <c r="D3" s="602"/>
      <c r="E3" s="602" t="s">
        <v>2918</v>
      </c>
      <c r="F3" s="602" t="s">
        <v>2917</v>
      </c>
      <c r="G3" s="602"/>
      <c r="H3" s="602"/>
      <c r="I3" s="602"/>
      <c r="J3" s="602"/>
      <c r="K3" s="602"/>
    </row>
    <row r="4" spans="1:11">
      <c r="A4" s="602" t="s">
        <v>2919</v>
      </c>
      <c r="B4" s="602" t="s">
        <v>2920</v>
      </c>
      <c r="C4" s="602" t="s">
        <v>2921</v>
      </c>
      <c r="D4" s="602" t="s">
        <v>2922</v>
      </c>
      <c r="E4" s="602" t="s">
        <v>2923</v>
      </c>
      <c r="F4" s="602" t="s">
        <v>1103</v>
      </c>
      <c r="G4" s="602" t="s">
        <v>1000</v>
      </c>
      <c r="H4" s="602" t="s">
        <v>2924</v>
      </c>
      <c r="I4" s="602" t="s">
        <v>1002</v>
      </c>
      <c r="J4" s="602"/>
      <c r="K4" s="602" t="s">
        <v>2925</v>
      </c>
    </row>
    <row r="5" spans="1:11">
      <c r="A5" s="602" t="s">
        <v>2926</v>
      </c>
      <c r="B5" s="602" t="s">
        <v>2920</v>
      </c>
      <c r="C5" s="602" t="s">
        <v>2921</v>
      </c>
      <c r="D5" s="602" t="s">
        <v>2927</v>
      </c>
      <c r="E5" s="602" t="s">
        <v>2928</v>
      </c>
      <c r="F5" s="602" t="s">
        <v>2929</v>
      </c>
      <c r="G5" s="602" t="s">
        <v>1000</v>
      </c>
      <c r="H5" s="602" t="s">
        <v>2930</v>
      </c>
      <c r="I5" s="602" t="s">
        <v>1320</v>
      </c>
      <c r="J5" s="602"/>
      <c r="K5" s="602" t="s">
        <v>2931</v>
      </c>
    </row>
    <row r="6" spans="1:11">
      <c r="A6" s="602" t="s">
        <v>2926</v>
      </c>
      <c r="B6" s="602" t="s">
        <v>2920</v>
      </c>
      <c r="C6" s="602" t="s">
        <v>2921</v>
      </c>
      <c r="D6" s="602" t="s">
        <v>2927</v>
      </c>
      <c r="E6" s="602" t="s">
        <v>2932</v>
      </c>
      <c r="F6" s="602" t="s">
        <v>2929</v>
      </c>
      <c r="G6" s="602" t="s">
        <v>1000</v>
      </c>
      <c r="H6" s="602" t="s">
        <v>2930</v>
      </c>
      <c r="I6" s="602" t="s">
        <v>1320</v>
      </c>
      <c r="J6" s="602"/>
      <c r="K6" s="602" t="s">
        <v>2925</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BJECT">
    <tabColor indexed="47"/>
  </sheetPr>
  <dimension ref="A1:I5"/>
  <sheetViews>
    <sheetView showGridLines="0" zoomScaleNormal="100" workbookViewId="0"/>
  </sheetViews>
  <sheetFormatPr defaultRowHeight="11.4"/>
  <sheetData>
    <row r="1" spans="1:9">
      <c r="A1" s="602" t="s">
        <v>2956</v>
      </c>
      <c r="B1" s="602" t="s">
        <v>2957</v>
      </c>
      <c r="C1" s="602" t="s">
        <v>2958</v>
      </c>
      <c r="D1" s="602" t="s">
        <v>2959</v>
      </c>
      <c r="E1" s="602" t="s">
        <v>2960</v>
      </c>
      <c r="F1" s="602" t="s">
        <v>2961</v>
      </c>
      <c r="G1" s="602" t="s">
        <v>2962</v>
      </c>
      <c r="H1" s="602" t="s">
        <v>2963</v>
      </c>
      <c r="I1" s="602" t="s">
        <v>2964</v>
      </c>
    </row>
    <row r="2" spans="1:9">
      <c r="A2" s="602" t="s">
        <v>2965</v>
      </c>
      <c r="B2" s="602"/>
      <c r="C2" s="602" t="s">
        <v>2966</v>
      </c>
      <c r="D2" s="602" t="s">
        <v>2967</v>
      </c>
      <c r="E2" s="602" t="s">
        <v>2968</v>
      </c>
      <c r="F2" s="602" t="s">
        <v>1368</v>
      </c>
      <c r="G2" s="602" t="s">
        <v>1382</v>
      </c>
      <c r="H2" s="602" t="s">
        <v>2969</v>
      </c>
      <c r="I2" s="602" t="s">
        <v>2970</v>
      </c>
    </row>
    <row r="3" spans="1:9">
      <c r="A3" s="602" t="s">
        <v>2965</v>
      </c>
      <c r="B3" s="602"/>
      <c r="C3" s="602" t="s">
        <v>2971</v>
      </c>
      <c r="D3" s="602" t="s">
        <v>2972</v>
      </c>
      <c r="E3" s="602" t="s">
        <v>2973</v>
      </c>
      <c r="F3" s="602" t="s">
        <v>1372</v>
      </c>
      <c r="G3" s="602" t="s">
        <v>1385</v>
      </c>
      <c r="H3" s="602" t="s">
        <v>18</v>
      </c>
      <c r="I3" s="602" t="s">
        <v>2974</v>
      </c>
    </row>
    <row r="4" spans="1:9">
      <c r="A4" s="602" t="s">
        <v>2975</v>
      </c>
      <c r="B4" s="602"/>
      <c r="C4" s="602" t="s">
        <v>2976</v>
      </c>
      <c r="D4" s="602" t="s">
        <v>2972</v>
      </c>
      <c r="E4" s="602" t="s">
        <v>2968</v>
      </c>
      <c r="F4" s="602" t="s">
        <v>1368</v>
      </c>
      <c r="G4" s="602" t="s">
        <v>1382</v>
      </c>
      <c r="H4" s="602" t="s">
        <v>2969</v>
      </c>
      <c r="I4" s="602" t="s">
        <v>2970</v>
      </c>
    </row>
    <row r="5" spans="1:9">
      <c r="A5" s="602" t="s">
        <v>2975</v>
      </c>
      <c r="B5" s="602"/>
      <c r="C5" s="602" t="s">
        <v>2977</v>
      </c>
      <c r="D5" s="602" t="s">
        <v>2978</v>
      </c>
      <c r="E5" s="602" t="s">
        <v>2979</v>
      </c>
      <c r="F5" s="602" t="s">
        <v>1372</v>
      </c>
      <c r="G5" s="602" t="s">
        <v>1385</v>
      </c>
      <c r="H5" s="602" t="s">
        <v>102</v>
      </c>
      <c r="I5" s="602" t="s">
        <v>2974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workbookViewId="0"/>
  </sheetViews>
  <sheetFormatPr defaultRowHeight="11.4"/>
  <sheetData/>
  <pageMargins left="0.7" right="0.7" top="0.75" bottom="0.75" header="0.3" footer="0.3"/>
  <pageSetup paperSize="9" orientation="portrait" horizontalDpi="4294967293"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DPR">
    <tabColor indexed="47"/>
  </sheetPr>
  <dimension ref="A1"/>
  <sheetViews>
    <sheetView showGridLines="0" zoomScaleNormal="100" workbookViewId="0"/>
  </sheetViews>
  <sheetFormatPr defaultColWidth="9.125" defaultRowHeight="11.4"/>
  <cols>
    <col min="1" max="16384" width="9.125" style="565"/>
  </cols>
  <sheetData/>
  <sheetProtection formatColumns="0" formatRows="0"/>
  <pageMargins left="0.75" right="0.75" top="1" bottom="1" header="0.5" footer="0.5"/>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emplate">
    <tabColor indexed="47"/>
  </sheetPr>
  <dimension ref="A1"/>
  <sheetViews>
    <sheetView showGridLines="0" zoomScaleNormal="100" workbookViewId="0"/>
  </sheetViews>
  <sheetFormatPr defaultRowHeight="11.4"/>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ICTIONARIES">
    <tabColor indexed="47"/>
  </sheetPr>
  <dimension ref="A1:C121"/>
  <sheetViews>
    <sheetView showGridLines="0" zoomScaleNormal="100" workbookViewId="0"/>
  </sheetViews>
  <sheetFormatPr defaultRowHeight="11.4"/>
  <sheetData>
    <row r="1" spans="1:3">
      <c r="A1" t="s">
        <v>901</v>
      </c>
      <c r="B1" t="s">
        <v>2418</v>
      </c>
      <c r="C1" t="s">
        <v>2420</v>
      </c>
    </row>
    <row r="2" spans="1:3">
      <c r="A2" t="s">
        <v>902</v>
      </c>
      <c r="B2" t="s">
        <v>2419</v>
      </c>
    </row>
    <row r="3" spans="1:3">
      <c r="A3" t="s">
        <v>903</v>
      </c>
      <c r="C3" t="s">
        <v>2421</v>
      </c>
    </row>
    <row r="4" spans="1:3">
      <c r="A4" t="s">
        <v>904</v>
      </c>
      <c r="C4" t="s">
        <v>2422</v>
      </c>
    </row>
    <row r="5" spans="1:3">
      <c r="A5" t="s">
        <v>905</v>
      </c>
      <c r="C5" t="s">
        <v>2423</v>
      </c>
    </row>
    <row r="6" spans="1:3">
      <c r="A6" t="s">
        <v>906</v>
      </c>
      <c r="C6" t="s">
        <v>2424</v>
      </c>
    </row>
    <row r="7" spans="1:3">
      <c r="A7" t="s">
        <v>907</v>
      </c>
      <c r="C7" t="s">
        <v>2425</v>
      </c>
    </row>
    <row r="8" spans="1:3">
      <c r="A8" t="s">
        <v>2416</v>
      </c>
      <c r="C8" t="s">
        <v>2426</v>
      </c>
    </row>
    <row r="9" spans="1:3">
      <c r="A9" t="s">
        <v>908</v>
      </c>
      <c r="C9" t="s">
        <v>2427</v>
      </c>
    </row>
    <row r="10" spans="1:3">
      <c r="A10" t="s">
        <v>909</v>
      </c>
      <c r="C10" t="s">
        <v>2428</v>
      </c>
    </row>
    <row r="11" spans="1:3">
      <c r="A11" t="s">
        <v>910</v>
      </c>
      <c r="C11" t="s">
        <v>2429</v>
      </c>
    </row>
    <row r="12" spans="1:3">
      <c r="A12" t="s">
        <v>911</v>
      </c>
      <c r="C12" t="s">
        <v>2430</v>
      </c>
    </row>
    <row r="13" spans="1:3">
      <c r="A13" t="s">
        <v>912</v>
      </c>
      <c r="C13" t="s">
        <v>2431</v>
      </c>
    </row>
    <row r="14" spans="1:3">
      <c r="A14" t="s">
        <v>913</v>
      </c>
      <c r="C14" t="s">
        <v>2432</v>
      </c>
    </row>
    <row r="15" spans="1:3">
      <c r="A15" t="s">
        <v>914</v>
      </c>
      <c r="C15" t="s">
        <v>2433</v>
      </c>
    </row>
    <row r="16" spans="1:3">
      <c r="A16" t="s">
        <v>915</v>
      </c>
      <c r="C16" t="s">
        <v>2434</v>
      </c>
    </row>
    <row r="17" spans="1:3">
      <c r="A17" t="s">
        <v>916</v>
      </c>
      <c r="C17" t="s">
        <v>2435</v>
      </c>
    </row>
    <row r="18" spans="1:3">
      <c r="A18" t="s">
        <v>917</v>
      </c>
      <c r="C18" t="s">
        <v>2436</v>
      </c>
    </row>
    <row r="19" spans="1:3">
      <c r="A19" t="s">
        <v>918</v>
      </c>
      <c r="C19" t="s">
        <v>2437</v>
      </c>
    </row>
    <row r="20" spans="1:3">
      <c r="A20" t="s">
        <v>919</v>
      </c>
      <c r="C20" t="s">
        <v>2438</v>
      </c>
    </row>
    <row r="21" spans="1:3">
      <c r="A21" t="s">
        <v>920</v>
      </c>
      <c r="C21" t="s">
        <v>2439</v>
      </c>
    </row>
    <row r="22" spans="1:3">
      <c r="A22" t="s">
        <v>921</v>
      </c>
      <c r="C22" t="s">
        <v>2440</v>
      </c>
    </row>
    <row r="23" spans="1:3">
      <c r="A23" t="s">
        <v>922</v>
      </c>
      <c r="C23" t="s">
        <v>2441</v>
      </c>
    </row>
    <row r="24" spans="1:3">
      <c r="A24" t="s">
        <v>923</v>
      </c>
      <c r="C24" t="s">
        <v>2442</v>
      </c>
    </row>
    <row r="25" spans="1:3">
      <c r="A25" t="s">
        <v>924</v>
      </c>
      <c r="C25" t="s">
        <v>2443</v>
      </c>
    </row>
    <row r="26" spans="1:3">
      <c r="A26" t="s">
        <v>925</v>
      </c>
      <c r="C26" t="s">
        <v>2444</v>
      </c>
    </row>
    <row r="27" spans="1:3">
      <c r="A27" t="s">
        <v>926</v>
      </c>
      <c r="C27" t="s">
        <v>2445</v>
      </c>
    </row>
    <row r="28" spans="1:3">
      <c r="A28" t="s">
        <v>927</v>
      </c>
      <c r="C28" t="s">
        <v>2446</v>
      </c>
    </row>
    <row r="29" spans="1:3">
      <c r="A29" t="s">
        <v>928</v>
      </c>
      <c r="C29" t="s">
        <v>2447</v>
      </c>
    </row>
    <row r="30" spans="1:3">
      <c r="A30" t="s">
        <v>929</v>
      </c>
      <c r="C30" t="s">
        <v>2448</v>
      </c>
    </row>
    <row r="31" spans="1:3">
      <c r="A31" t="s">
        <v>930</v>
      </c>
      <c r="C31" t="s">
        <v>2449</v>
      </c>
    </row>
    <row r="32" spans="1:3">
      <c r="A32" t="s">
        <v>931</v>
      </c>
      <c r="C32" t="s">
        <v>2450</v>
      </c>
    </row>
    <row r="33" spans="1:3">
      <c r="A33" t="s">
        <v>932</v>
      </c>
      <c r="C33" t="s">
        <v>2451</v>
      </c>
    </row>
    <row r="34" spans="1:3">
      <c r="A34" t="s">
        <v>933</v>
      </c>
      <c r="C34" t="s">
        <v>2452</v>
      </c>
    </row>
    <row r="35" spans="1:3">
      <c r="A35" t="s">
        <v>934</v>
      </c>
      <c r="C35" t="s">
        <v>2453</v>
      </c>
    </row>
    <row r="36" spans="1:3">
      <c r="A36" t="s">
        <v>935</v>
      </c>
      <c r="C36" t="s">
        <v>2454</v>
      </c>
    </row>
    <row r="37" spans="1:3">
      <c r="A37" t="s">
        <v>936</v>
      </c>
      <c r="C37" t="s">
        <v>2455</v>
      </c>
    </row>
    <row r="38" spans="1:3">
      <c r="A38" t="s">
        <v>937</v>
      </c>
      <c r="C38" t="s">
        <v>2456</v>
      </c>
    </row>
    <row r="39" spans="1:3">
      <c r="A39" t="s">
        <v>938</v>
      </c>
      <c r="C39" t="s">
        <v>2457</v>
      </c>
    </row>
    <row r="40" spans="1:3">
      <c r="A40" t="s">
        <v>939</v>
      </c>
      <c r="C40" t="s">
        <v>2458</v>
      </c>
    </row>
    <row r="41" spans="1:3">
      <c r="A41" t="s">
        <v>940</v>
      </c>
      <c r="C41" t="s">
        <v>2459</v>
      </c>
    </row>
    <row r="42" spans="1:3">
      <c r="A42" t="s">
        <v>941</v>
      </c>
      <c r="C42" t="s">
        <v>2460</v>
      </c>
    </row>
    <row r="43" spans="1:3">
      <c r="A43" t="s">
        <v>942</v>
      </c>
      <c r="C43" t="s">
        <v>2461</v>
      </c>
    </row>
    <row r="44" spans="1:3">
      <c r="A44" t="s">
        <v>943</v>
      </c>
      <c r="C44" t="s">
        <v>2462</v>
      </c>
    </row>
    <row r="45" spans="1:3">
      <c r="A45" t="s">
        <v>944</v>
      </c>
      <c r="C45" t="s">
        <v>2463</v>
      </c>
    </row>
    <row r="46" spans="1:3">
      <c r="A46" t="s">
        <v>945</v>
      </c>
      <c r="C46" t="s">
        <v>2464</v>
      </c>
    </row>
    <row r="47" spans="1:3">
      <c r="A47" t="s">
        <v>946</v>
      </c>
      <c r="C47" t="s">
        <v>2465</v>
      </c>
    </row>
    <row r="48" spans="1:3">
      <c r="A48" t="s">
        <v>947</v>
      </c>
      <c r="C48" t="s">
        <v>2466</v>
      </c>
    </row>
    <row r="49" spans="1:3">
      <c r="A49" t="s">
        <v>948</v>
      </c>
      <c r="C49" t="s">
        <v>2467</v>
      </c>
    </row>
    <row r="50" spans="1:3">
      <c r="A50" t="s">
        <v>949</v>
      </c>
      <c r="C50" t="s">
        <v>2468</v>
      </c>
    </row>
    <row r="51" spans="1:3">
      <c r="A51" t="s">
        <v>950</v>
      </c>
      <c r="C51" t="s">
        <v>2469</v>
      </c>
    </row>
    <row r="52" spans="1:3">
      <c r="A52" t="s">
        <v>951</v>
      </c>
      <c r="C52" t="s">
        <v>2470</v>
      </c>
    </row>
    <row r="53" spans="1:3">
      <c r="A53" t="s">
        <v>952</v>
      </c>
      <c r="C53" t="s">
        <v>2471</v>
      </c>
    </row>
    <row r="54" spans="1:3">
      <c r="A54" t="s">
        <v>953</v>
      </c>
      <c r="C54" t="s">
        <v>2472</v>
      </c>
    </row>
    <row r="55" spans="1:3">
      <c r="A55" t="s">
        <v>954</v>
      </c>
      <c r="C55" t="s">
        <v>2473</v>
      </c>
    </row>
    <row r="56" spans="1:3">
      <c r="A56" t="s">
        <v>955</v>
      </c>
      <c r="C56" t="s">
        <v>2474</v>
      </c>
    </row>
    <row r="57" spans="1:3">
      <c r="A57" t="s">
        <v>956</v>
      </c>
      <c r="C57" t="s">
        <v>2475</v>
      </c>
    </row>
    <row r="58" spans="1:3">
      <c r="A58" t="s">
        <v>957</v>
      </c>
      <c r="C58" t="s">
        <v>2476</v>
      </c>
    </row>
    <row r="59" spans="1:3">
      <c r="A59" t="s">
        <v>958</v>
      </c>
      <c r="C59" t="s">
        <v>2477</v>
      </c>
    </row>
    <row r="60" spans="1:3">
      <c r="A60" t="s">
        <v>959</v>
      </c>
      <c r="C60" t="s">
        <v>2478</v>
      </c>
    </row>
    <row r="61" spans="1:3">
      <c r="A61" t="s">
        <v>960</v>
      </c>
      <c r="C61" t="s">
        <v>2479</v>
      </c>
    </row>
    <row r="62" spans="1:3">
      <c r="A62" t="s">
        <v>961</v>
      </c>
      <c r="C62" t="s">
        <v>2480</v>
      </c>
    </row>
    <row r="63" spans="1:3">
      <c r="A63" t="s">
        <v>962</v>
      </c>
      <c r="C63" t="s">
        <v>2481</v>
      </c>
    </row>
    <row r="64" spans="1:3">
      <c r="A64" t="s">
        <v>963</v>
      </c>
      <c r="C64" t="s">
        <v>2482</v>
      </c>
    </row>
    <row r="65" spans="1:3">
      <c r="A65" t="s">
        <v>964</v>
      </c>
      <c r="C65" t="s">
        <v>2483</v>
      </c>
    </row>
    <row r="66" spans="1:3">
      <c r="A66" t="s">
        <v>965</v>
      </c>
      <c r="C66" t="s">
        <v>2484</v>
      </c>
    </row>
    <row r="67" spans="1:3">
      <c r="A67" t="s">
        <v>966</v>
      </c>
      <c r="C67" t="s">
        <v>2485</v>
      </c>
    </row>
    <row r="68" spans="1:3">
      <c r="A68" t="s">
        <v>967</v>
      </c>
      <c r="C68" t="s">
        <v>2486</v>
      </c>
    </row>
    <row r="69" spans="1:3">
      <c r="A69" t="s">
        <v>968</v>
      </c>
      <c r="C69" t="s">
        <v>2487</v>
      </c>
    </row>
    <row r="70" spans="1:3">
      <c r="A70" t="s">
        <v>969</v>
      </c>
      <c r="C70" t="s">
        <v>2488</v>
      </c>
    </row>
    <row r="71" spans="1:3">
      <c r="A71" t="s">
        <v>970</v>
      </c>
      <c r="C71" t="s">
        <v>2489</v>
      </c>
    </row>
    <row r="72" spans="1:3">
      <c r="A72" t="s">
        <v>971</v>
      </c>
      <c r="C72" t="s">
        <v>2490</v>
      </c>
    </row>
    <row r="73" spans="1:3">
      <c r="A73" t="s">
        <v>972</v>
      </c>
      <c r="C73" t="s">
        <v>2491</v>
      </c>
    </row>
    <row r="74" spans="1:3">
      <c r="A74" t="s">
        <v>973</v>
      </c>
      <c r="C74" t="s">
        <v>2492</v>
      </c>
    </row>
    <row r="75" spans="1:3">
      <c r="A75" t="s">
        <v>974</v>
      </c>
      <c r="C75" t="s">
        <v>2493</v>
      </c>
    </row>
    <row r="76" spans="1:3">
      <c r="A76" t="s">
        <v>975</v>
      </c>
      <c r="C76" t="s">
        <v>2494</v>
      </c>
    </row>
    <row r="77" spans="1:3">
      <c r="A77" t="s">
        <v>976</v>
      </c>
      <c r="C77" t="s">
        <v>2495</v>
      </c>
    </row>
    <row r="78" spans="1:3">
      <c r="A78" t="s">
        <v>977</v>
      </c>
      <c r="C78" t="s">
        <v>2496</v>
      </c>
    </row>
    <row r="79" spans="1:3">
      <c r="A79" t="s">
        <v>978</v>
      </c>
      <c r="C79" t="s">
        <v>2497</v>
      </c>
    </row>
    <row r="80" spans="1:3">
      <c r="A80" t="s">
        <v>979</v>
      </c>
      <c r="C80" t="s">
        <v>2498</v>
      </c>
    </row>
    <row r="81" spans="1:3">
      <c r="A81" t="s">
        <v>980</v>
      </c>
      <c r="C81" t="s">
        <v>2499</v>
      </c>
    </row>
    <row r="82" spans="1:3">
      <c r="A82" t="s">
        <v>981</v>
      </c>
      <c r="C82" t="s">
        <v>2500</v>
      </c>
    </row>
    <row r="83" spans="1:3">
      <c r="A83" t="s">
        <v>982</v>
      </c>
      <c r="C83" t="s">
        <v>2501</v>
      </c>
    </row>
    <row r="84" spans="1:3">
      <c r="A84" t="s">
        <v>983</v>
      </c>
      <c r="C84" t="s">
        <v>2502</v>
      </c>
    </row>
    <row r="85" spans="1:3">
      <c r="A85" t="s">
        <v>984</v>
      </c>
      <c r="C85" t="s">
        <v>2503</v>
      </c>
    </row>
    <row r="86" spans="1:3">
      <c r="A86" t="s">
        <v>985</v>
      </c>
      <c r="C86" t="s">
        <v>2504</v>
      </c>
    </row>
    <row r="87" spans="1:3">
      <c r="A87" t="s">
        <v>2417</v>
      </c>
      <c r="C87" t="s">
        <v>2505</v>
      </c>
    </row>
    <row r="88" spans="1:3">
      <c r="A88" t="s">
        <v>986</v>
      </c>
      <c r="C88" t="s">
        <v>2506</v>
      </c>
    </row>
    <row r="89" spans="1:3">
      <c r="A89" t="s">
        <v>987</v>
      </c>
      <c r="C89" t="s">
        <v>2507</v>
      </c>
    </row>
    <row r="90" spans="1:3">
      <c r="A90" t="s">
        <v>988</v>
      </c>
      <c r="C90" t="s">
        <v>2508</v>
      </c>
    </row>
    <row r="91" spans="1:3">
      <c r="A91" t="s">
        <v>989</v>
      </c>
      <c r="C91" t="s">
        <v>2509</v>
      </c>
    </row>
    <row r="92" spans="1:3">
      <c r="A92" t="s">
        <v>990</v>
      </c>
      <c r="C92" t="s">
        <v>2510</v>
      </c>
    </row>
    <row r="93" spans="1:3">
      <c r="A93" t="s">
        <v>991</v>
      </c>
      <c r="C93" t="s">
        <v>2511</v>
      </c>
    </row>
    <row r="94" spans="1:3">
      <c r="A94" t="s">
        <v>992</v>
      </c>
      <c r="C94" t="s">
        <v>2512</v>
      </c>
    </row>
    <row r="95" spans="1:3">
      <c r="A95" t="s">
        <v>993</v>
      </c>
      <c r="C95" t="s">
        <v>2513</v>
      </c>
    </row>
    <row r="96" spans="1:3">
      <c r="A96" t="s">
        <v>994</v>
      </c>
      <c r="C96" t="s">
        <v>2514</v>
      </c>
    </row>
    <row r="97" spans="1:3">
      <c r="A97" t="s">
        <v>995</v>
      </c>
      <c r="C97" t="s">
        <v>2515</v>
      </c>
    </row>
    <row r="98" spans="1:3">
      <c r="C98" t="s">
        <v>2516</v>
      </c>
    </row>
    <row r="99" spans="1:3">
      <c r="C99" t="s">
        <v>2517</v>
      </c>
    </row>
    <row r="100" spans="1:3">
      <c r="C100" t="s">
        <v>2518</v>
      </c>
    </row>
    <row r="101" spans="1:3">
      <c r="C101" t="s">
        <v>2519</v>
      </c>
    </row>
    <row r="102" spans="1:3">
      <c r="C102" t="s">
        <v>2520</v>
      </c>
    </row>
    <row r="103" spans="1:3">
      <c r="C103" t="s">
        <v>2521</v>
      </c>
    </row>
    <row r="104" spans="1:3">
      <c r="C104" t="s">
        <v>2522</v>
      </c>
    </row>
    <row r="105" spans="1:3">
      <c r="C105" t="s">
        <v>2523</v>
      </c>
    </row>
    <row r="106" spans="1:3">
      <c r="C106" t="s">
        <v>2524</v>
      </c>
    </row>
    <row r="107" spans="1:3">
      <c r="C107" t="s">
        <v>2525</v>
      </c>
    </row>
    <row r="108" spans="1:3">
      <c r="C108" t="s">
        <v>2526</v>
      </c>
    </row>
    <row r="109" spans="1:3">
      <c r="C109" t="s">
        <v>2527</v>
      </c>
    </row>
    <row r="110" spans="1:3">
      <c r="C110" t="s">
        <v>2528</v>
      </c>
    </row>
    <row r="111" spans="1:3">
      <c r="C111" t="s">
        <v>2529</v>
      </c>
    </row>
    <row r="112" spans="1:3">
      <c r="C112" t="s">
        <v>2530</v>
      </c>
    </row>
    <row r="113" spans="3:3">
      <c r="C113" t="s">
        <v>2531</v>
      </c>
    </row>
    <row r="114" spans="3:3">
      <c r="C114" t="s">
        <v>2532</v>
      </c>
    </row>
    <row r="115" spans="3:3">
      <c r="C115" t="s">
        <v>2533</v>
      </c>
    </row>
    <row r="116" spans="3:3">
      <c r="C116" t="s">
        <v>2534</v>
      </c>
    </row>
    <row r="117" spans="3:3">
      <c r="C117" t="s">
        <v>2535</v>
      </c>
    </row>
    <row r="118" spans="3:3">
      <c r="C118" t="s">
        <v>2536</v>
      </c>
    </row>
    <row r="119" spans="3:3">
      <c r="C119" t="s">
        <v>2537</v>
      </c>
    </row>
    <row r="120" spans="3:3">
      <c r="C120" t="s">
        <v>2538</v>
      </c>
    </row>
    <row r="121" spans="3:3">
      <c r="C121" t="s">
        <v>2539</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4"/>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4"/>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41"/>
  <sheetViews>
    <sheetView showGridLines="0" zoomScaleNormal="100" workbookViewId="0"/>
  </sheetViews>
  <sheetFormatPr defaultRowHeight="11.4"/>
  <sheetData>
    <row r="1" spans="1:1">
      <c r="A1" s="603">
        <f>IF('Общие сведения'!$H$8="",1,0)</f>
        <v>0</v>
      </c>
    </row>
    <row r="2" spans="1:1">
      <c r="A2" s="603">
        <f>IF('Общие сведения'!$H$9="",1,0)</f>
        <v>0</v>
      </c>
    </row>
    <row r="3" spans="1:1">
      <c r="A3" s="603">
        <f>IF('Общие сведения'!$H$10="",1,0)</f>
        <v>0</v>
      </c>
    </row>
    <row r="4" spans="1:1">
      <c r="A4" s="603">
        <f>IF('Общие сведения'!$H$29="",1,0)</f>
        <v>0</v>
      </c>
    </row>
    <row r="5" spans="1:1">
      <c r="A5" s="603">
        <f>IF('Общие сведения'!$H$30="",1,0)</f>
        <v>0</v>
      </c>
    </row>
    <row r="6" spans="1:1">
      <c r="A6" s="603">
        <f>IF('Общие сведения'!$H$31="",1,0)</f>
        <v>0</v>
      </c>
    </row>
    <row r="7" spans="1:1">
      <c r="A7" s="603">
        <f>IF('Общие сведения'!$H$32="",1,0)</f>
        <v>0</v>
      </c>
    </row>
    <row r="8" spans="1:1">
      <c r="A8" s="603">
        <f>IF('Общие сведения'!$H$33="",1,0)</f>
        <v>0</v>
      </c>
    </row>
    <row r="9" spans="1:1">
      <c r="A9" s="603">
        <f>IF('Общие сведения'!$H$34="",1,0)</f>
        <v>0</v>
      </c>
    </row>
    <row r="10" spans="1:1">
      <c r="A10" s="603">
        <f>IF('Общие сведения'!$H$35="",1,0)</f>
        <v>0</v>
      </c>
    </row>
    <row r="11" spans="1:1">
      <c r="A11" s="603">
        <f>IF('Общие сведения'!$H$37="",1,0)</f>
        <v>0</v>
      </c>
    </row>
    <row r="12" spans="1:1">
      <c r="A12" s="603">
        <f>IF('Общие сведения'!$H$38="",1,0)</f>
        <v>0</v>
      </c>
    </row>
    <row r="13" spans="1:1">
      <c r="A13" s="603">
        <f>IF('Общие сведения'!$H$39="",1,0)</f>
        <v>0</v>
      </c>
    </row>
    <row r="14" spans="1:1">
      <c r="A14" s="603">
        <f>IF('Общие сведения'!$H$40="",1,0)</f>
        <v>0</v>
      </c>
    </row>
    <row r="15" spans="1:1">
      <c r="A15" s="603">
        <f>IF('Общие сведения'!$H$41="",1,0)</f>
        <v>0</v>
      </c>
    </row>
    <row r="16" spans="1:1">
      <c r="A16" s="603">
        <f>IF('Общие сведения'!$H$42="",1,0)</f>
        <v>0</v>
      </c>
    </row>
    <row r="17" spans="1:1">
      <c r="A17" s="603">
        <f>IF('Общие сведения'!$H$43="",1,0)</f>
        <v>0</v>
      </c>
    </row>
    <row r="18" spans="1:1">
      <c r="A18" s="603">
        <f>IF('Общие сведения'!$H$45="",1,0)</f>
        <v>0</v>
      </c>
    </row>
    <row r="19" spans="1:1">
      <c r="A19" s="603">
        <f>IF('Общие сведения'!$H$46="",1,0)</f>
        <v>0</v>
      </c>
    </row>
    <row r="20" spans="1:1">
      <c r="A20" s="603">
        <f>IF('Общие сведения'!$H$52="",1,0)</f>
        <v>0</v>
      </c>
    </row>
    <row r="21" spans="1:1">
      <c r="A21" s="603">
        <f>IF('Общие сведения'!$H$58="",1,0)</f>
        <v>0</v>
      </c>
    </row>
    <row r="22" spans="1:1">
      <c r="A22" s="603">
        <f>IF('Общие сведения'!$H$64="",1,0)</f>
        <v>0</v>
      </c>
    </row>
    <row r="23" spans="1:1">
      <c r="A23" s="603">
        <f>IF('Общие сведения'!$H$71="",1,0)</f>
        <v>0</v>
      </c>
    </row>
    <row r="24" spans="1:1">
      <c r="A24" s="603">
        <f>IF('Общие сведения'!$H$78="",1,0)</f>
        <v>0</v>
      </c>
    </row>
    <row r="25" spans="1:1">
      <c r="A25" s="603">
        <f>IF('Общие сведения'!$H$86="",1,0)</f>
        <v>0</v>
      </c>
    </row>
    <row r="26" spans="1:1">
      <c r="A26" s="603">
        <f>IF('Общие сведения'!$H$111="",1,0)</f>
        <v>0</v>
      </c>
    </row>
    <row r="27" spans="1:1">
      <c r="A27" s="603">
        <f>IF('Общие сведения'!$H$113="",1,0)</f>
        <v>0</v>
      </c>
    </row>
    <row r="28" spans="1:1">
      <c r="A28" s="603">
        <f>IF('Общие сведения'!$H$150="",1,0)</f>
        <v>0</v>
      </c>
    </row>
    <row r="29" spans="1:1">
      <c r="A29" s="603">
        <f>IF('Общие сведения'!$H$152="",1,0)</f>
        <v>0</v>
      </c>
    </row>
    <row r="30" spans="1:1">
      <c r="A30" s="603">
        <f>IF('Общие сведения'!$H$117="",1,0)</f>
        <v>0</v>
      </c>
    </row>
    <row r="31" spans="1:1">
      <c r="A31" s="603">
        <f>IF('Общие сведения'!$H$118="",1,0)</f>
        <v>0</v>
      </c>
    </row>
    <row r="32" spans="1:1">
      <c r="A32" s="603">
        <f>IF('Общие сведения'!$H$120="",1,0)</f>
        <v>0</v>
      </c>
    </row>
    <row r="33" spans="1:1">
      <c r="A33" s="603">
        <f>IF('Список территорий'!$M$16="",1,0)</f>
        <v>0</v>
      </c>
    </row>
    <row r="34" spans="1:1">
      <c r="A34" s="603">
        <f>IF('Список территорий'!$N$16="",1,0)</f>
        <v>0</v>
      </c>
    </row>
    <row r="35" spans="1:1">
      <c r="A35" s="603">
        <f>IF(ЭЭ!$M$23="",1,0)</f>
        <v>0</v>
      </c>
    </row>
    <row r="36" spans="1:1">
      <c r="A36" s="603">
        <f>IF('Общие сведения'!$H$130="",1,0)</f>
        <v>0</v>
      </c>
    </row>
    <row r="37" spans="1:1">
      <c r="A37" s="603">
        <f>IF('Общие сведения'!$H$131="",1,0)</f>
        <v>0</v>
      </c>
    </row>
    <row r="38" spans="1:1">
      <c r="A38" s="603">
        <f>IF('Общие сведения'!$H$133="",1,0)</f>
        <v>0</v>
      </c>
    </row>
    <row r="39" spans="1:1">
      <c r="A39" s="603">
        <f>IF('Список территорий'!$M$18="",1,0)</f>
        <v>0</v>
      </c>
    </row>
    <row r="40" spans="1:1">
      <c r="A40" s="603">
        <f>IF('Список территорий'!$N$18="",1,0)</f>
        <v>0</v>
      </c>
    </row>
    <row r="41" spans="1:1">
      <c r="A41" s="603">
        <f>IF(ЭЭ!$M$34="",1,0)</f>
        <v>0</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4"/>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ColWidth="9.125" defaultRowHeight="11.4"/>
  <cols>
    <col min="1" max="16384" width="9.125" style="42"/>
  </cols>
  <sheetData/>
  <sheetProtection formatColumns="0" formatRows="0"/>
  <phoneticPr fontId="16" type="noConversion"/>
  <pageMargins left="0.75" right="0.75" top="1" bottom="1" header="0.5" footer="0.5"/>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ColWidth="9.125" defaultRowHeight="11.4"/>
  <cols>
    <col min="1" max="26" width="9.125" style="8"/>
    <col min="27" max="36" width="9.125" style="9"/>
    <col min="37" max="16384" width="9.125" style="8"/>
  </cols>
  <sheetData/>
  <sheetProtection formatColumns="0" formatRows="0"/>
  <phoneticPr fontId="16" type="noConversion"/>
  <pageMargins left="0.75" right="0.75" top="1" bottom="1" header="0.5" footer="0.5"/>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ColWidth="9.125" defaultRowHeight="11.4"/>
  <cols>
    <col min="1" max="16384" width="9.125" style="45"/>
  </cols>
  <sheetData/>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rgb="FFFFCC99"/>
  </sheetPr>
  <dimension ref="A1"/>
  <sheetViews>
    <sheetView workbookViewId="0"/>
  </sheetViews>
  <sheetFormatPr defaultRowHeight="11.4"/>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ColWidth="9.125" defaultRowHeight="11.4"/>
  <cols>
    <col min="1" max="16384" width="9.125" style="41"/>
  </cols>
  <sheetData/>
  <sheetProtection formatColumns="0" formatRows="0"/>
  <phoneticPr fontId="32" type="noConversion"/>
  <pageMargins left="0.75" right="0.75" top="1" bottom="1" header="0.5" footer="0.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39"/>
  <sheetViews>
    <sheetView showGridLines="0" zoomScaleNormal="100" workbookViewId="0"/>
  </sheetViews>
  <sheetFormatPr defaultColWidth="9.125" defaultRowHeight="11.4"/>
  <cols>
    <col min="1" max="1" width="36.25" customWidth="1"/>
    <col min="2" max="2" width="21.125" bestFit="1" customWidth="1"/>
    <col min="3" max="16384" width="9.125" style="2"/>
  </cols>
  <sheetData>
    <row r="1" spans="1:2">
      <c r="A1" s="6" t="s">
        <v>111</v>
      </c>
      <c r="B1" s="6" t="s">
        <v>112</v>
      </c>
    </row>
    <row r="2" spans="1:2">
      <c r="A2" t="s">
        <v>113</v>
      </c>
      <c r="B2" t="s">
        <v>118</v>
      </c>
    </row>
    <row r="3" spans="1:2">
      <c r="A3" t="s">
        <v>143</v>
      </c>
      <c r="B3" t="s">
        <v>1083</v>
      </c>
    </row>
    <row r="4" spans="1:2">
      <c r="A4" t="s">
        <v>1080</v>
      </c>
      <c r="B4" t="s">
        <v>114</v>
      </c>
    </row>
    <row r="5" spans="1:2">
      <c r="A5" t="s">
        <v>1223</v>
      </c>
      <c r="B5" t="s">
        <v>1125</v>
      </c>
    </row>
    <row r="6" spans="1:2">
      <c r="A6" t="s">
        <v>1081</v>
      </c>
      <c r="B6" t="s">
        <v>1084</v>
      </c>
    </row>
    <row r="7" spans="1:2">
      <c r="A7" t="s">
        <v>1221</v>
      </c>
      <c r="B7" t="s">
        <v>1085</v>
      </c>
    </row>
    <row r="8" spans="1:2">
      <c r="A8" t="s">
        <v>1224</v>
      </c>
      <c r="B8" t="s">
        <v>1303</v>
      </c>
    </row>
    <row r="9" spans="1:2">
      <c r="A9" t="s">
        <v>1225</v>
      </c>
      <c r="B9" t="s">
        <v>1709</v>
      </c>
    </row>
    <row r="10" spans="1:2">
      <c r="A10" t="s">
        <v>1226</v>
      </c>
      <c r="B10" t="s">
        <v>1710</v>
      </c>
    </row>
    <row r="11" spans="1:2">
      <c r="A11" t="s">
        <v>1227</v>
      </c>
      <c r="B11" t="s">
        <v>1711</v>
      </c>
    </row>
    <row r="12" spans="1:2">
      <c r="A12" t="s">
        <v>1228</v>
      </c>
      <c r="B12" t="s">
        <v>1712</v>
      </c>
    </row>
    <row r="13" spans="1:2">
      <c r="A13" t="s">
        <v>1222</v>
      </c>
      <c r="B13" t="s">
        <v>1713</v>
      </c>
    </row>
    <row r="14" spans="1:2">
      <c r="A14" t="s">
        <v>283</v>
      </c>
      <c r="B14" t="s">
        <v>185</v>
      </c>
    </row>
    <row r="15" spans="1:2">
      <c r="A15" t="s">
        <v>1229</v>
      </c>
      <c r="B15" t="s">
        <v>1304</v>
      </c>
    </row>
    <row r="16" spans="1:2">
      <c r="A16" t="s">
        <v>1230</v>
      </c>
      <c r="B16" t="s">
        <v>176</v>
      </c>
    </row>
    <row r="17" spans="1:2">
      <c r="A17" t="s">
        <v>1231</v>
      </c>
      <c r="B17" t="s">
        <v>1086</v>
      </c>
    </row>
    <row r="18" spans="1:2">
      <c r="A18" t="s">
        <v>1232</v>
      </c>
      <c r="B18" t="s">
        <v>1714</v>
      </c>
    </row>
    <row r="19" spans="1:2">
      <c r="A19" t="s">
        <v>1233</v>
      </c>
      <c r="B19" t="s">
        <v>1087</v>
      </c>
    </row>
    <row r="20" spans="1:2">
      <c r="A20" t="s">
        <v>1234</v>
      </c>
      <c r="B20" t="s">
        <v>174</v>
      </c>
    </row>
    <row r="21" spans="1:2">
      <c r="A21" t="s">
        <v>1235</v>
      </c>
      <c r="B21" t="s">
        <v>144</v>
      </c>
    </row>
    <row r="22" spans="1:2">
      <c r="A22" t="s">
        <v>1236</v>
      </c>
      <c r="B22" t="s">
        <v>156</v>
      </c>
    </row>
    <row r="23" spans="1:2">
      <c r="A23" t="s">
        <v>1237</v>
      </c>
      <c r="B23" t="s">
        <v>177</v>
      </c>
    </row>
    <row r="24" spans="1:2">
      <c r="A24" t="s">
        <v>1238</v>
      </c>
      <c r="B24" t="s">
        <v>173</v>
      </c>
    </row>
    <row r="25" spans="1:2">
      <c r="A25" t="s">
        <v>109</v>
      </c>
      <c r="B25" t="s">
        <v>116</v>
      </c>
    </row>
    <row r="26" spans="1:2">
      <c r="A26" t="s">
        <v>117</v>
      </c>
      <c r="B26" t="s">
        <v>119</v>
      </c>
    </row>
    <row r="27" spans="1:2">
      <c r="B27" t="s">
        <v>158</v>
      </c>
    </row>
    <row r="28" spans="1:2">
      <c r="B28" t="s">
        <v>157</v>
      </c>
    </row>
    <row r="29" spans="1:2">
      <c r="B29" t="s">
        <v>142</v>
      </c>
    </row>
    <row r="30" spans="1:2">
      <c r="B30" t="s">
        <v>1088</v>
      </c>
    </row>
    <row r="31" spans="1:2">
      <c r="B31" t="s">
        <v>1089</v>
      </c>
    </row>
    <row r="32" spans="1:2">
      <c r="B32" t="s">
        <v>1090</v>
      </c>
    </row>
    <row r="33" spans="2:2">
      <c r="B33" t="s">
        <v>1091</v>
      </c>
    </row>
    <row r="34" spans="2:2">
      <c r="B34" t="s">
        <v>1092</v>
      </c>
    </row>
    <row r="35" spans="2:2">
      <c r="B35" t="s">
        <v>1297</v>
      </c>
    </row>
    <row r="36" spans="2:2">
      <c r="B36" t="s">
        <v>1126</v>
      </c>
    </row>
    <row r="37" spans="2:2">
      <c r="B37" t="s">
        <v>1210</v>
      </c>
    </row>
    <row r="38" spans="2:2">
      <c r="B38" t="s">
        <v>1366</v>
      </c>
    </row>
    <row r="39" spans="2:2">
      <c r="B39" t="s">
        <v>1715</v>
      </c>
    </row>
  </sheetData>
  <sheetProtection formatColumns="0" formatRows="0"/>
  <phoneticPr fontId="14" type="noConversion"/>
  <pageMargins left="0.75" right="0.75" top="1" bottom="1" header="0.5" footer="0.5"/>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ColWidth="9.125" defaultRowHeight="11.4"/>
  <cols>
    <col min="1" max="16384" width="9.125" style="4"/>
  </cols>
  <sheetData/>
  <sheetProtection formatColumns="0" formatRows="0"/>
  <phoneticPr fontId="16" type="noConversion"/>
  <pageMargins left="0.75" right="0.75" top="1" bottom="1" header="0.5" footer="0.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ColWidth="9.125" defaultRowHeight="11.4"/>
  <cols>
    <col min="1" max="1" width="9.125" style="12"/>
    <col min="2" max="16384" width="9.125" style="13"/>
  </cols>
  <sheetData/>
  <sheetProtection formatColumns="0" formatRows="0"/>
  <phoneticPr fontId="11" type="noConversion"/>
  <pageMargins left="0.75" right="0.75" top="1" bottom="1" header="0.5" footer="0.5"/>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4"/>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4"/>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4"/>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4"/>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4"/>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4"/>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workbookViewId="0"/>
  </sheetViews>
  <sheetFormatPr defaultRowHeight="11.4"/>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4"/>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8">
    <tabColor rgb="FFFFCC99"/>
  </sheetPr>
  <dimension ref="A1"/>
  <sheetViews>
    <sheetView showGridLines="0" zoomScaleNormal="100" workbookViewId="0"/>
  </sheetViews>
  <sheetFormatPr defaultRowHeight="11.4"/>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4"/>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7">
    <tabColor rgb="FFFFCC99"/>
  </sheetPr>
  <dimension ref="A1"/>
  <sheetViews>
    <sheetView showGridLines="0" zoomScaleNormal="100" workbookViewId="0"/>
  </sheetViews>
  <sheetFormatPr defaultRowHeight="11.4"/>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Source">
    <tabColor rgb="FFFFCC99"/>
  </sheetPr>
  <dimension ref="A1"/>
  <sheetViews>
    <sheetView workbookViewId="0"/>
  </sheetViews>
  <sheetFormatPr defaultRowHeight="11.4"/>
  <sheetData/>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rgb="FFFFCC99"/>
  </sheetPr>
  <dimension ref="A1"/>
  <sheetViews>
    <sheetView workbookViewId="0"/>
  </sheetViews>
  <sheetFormatPr defaultRowHeight="11.4"/>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ColWidth="9.125" defaultRowHeight="13.8"/>
  <cols>
    <col min="1" max="1" width="3.25" style="15" customWidth="1"/>
    <col min="2" max="2" width="8.75" style="15" customWidth="1"/>
    <col min="3" max="3" width="22.25" style="15" customWidth="1"/>
    <col min="4" max="4" width="4.25" style="15" customWidth="1"/>
    <col min="5" max="6" width="4.375" style="15" customWidth="1"/>
    <col min="7" max="7" width="4.625" style="15" customWidth="1"/>
    <col min="8" max="24" width="4.375" style="15" customWidth="1"/>
    <col min="25" max="25" width="4.375" style="16" customWidth="1"/>
    <col min="26" max="26" width="9.125" style="15"/>
    <col min="27" max="27" width="9.125" style="17"/>
    <col min="28" max="16384" width="9.125" style="15"/>
  </cols>
  <sheetData>
    <row r="1" spans="1:29" ht="10.5" customHeight="1">
      <c r="A1" s="14"/>
      <c r="AA1" s="17" t="s">
        <v>160</v>
      </c>
    </row>
    <row r="2" spans="1:29" ht="16.5" customHeight="1">
      <c r="B2" s="1047" t="str">
        <f>"Код шаблона: " &amp; GetCode()</f>
        <v>Код шаблона: EXPERT.VSVO.INDEX.CORR</v>
      </c>
      <c r="C2" s="1047"/>
      <c r="D2" s="1047"/>
      <c r="E2" s="1047"/>
      <c r="F2" s="1047"/>
      <c r="G2" s="1047"/>
      <c r="H2" s="18"/>
      <c r="I2" s="18"/>
      <c r="J2" s="18"/>
      <c r="K2" s="18"/>
      <c r="L2" s="18"/>
      <c r="M2" s="18"/>
      <c r="N2" s="18"/>
      <c r="O2" s="18"/>
      <c r="P2" s="18"/>
      <c r="Q2" s="18"/>
      <c r="R2" s="18"/>
      <c r="S2" s="18"/>
      <c r="T2" s="18"/>
      <c r="U2" s="18"/>
      <c r="V2" s="18"/>
      <c r="W2" s="16"/>
      <c r="Y2" s="17"/>
      <c r="AA2" s="15"/>
    </row>
    <row r="3" spans="1:29" ht="18" customHeight="1">
      <c r="B3" s="1048" t="str">
        <f>"Версия " &amp; Getversion()</f>
        <v>Версия 4.2</v>
      </c>
      <c r="C3" s="1048"/>
      <c r="D3" s="19"/>
      <c r="E3" s="19"/>
      <c r="F3" s="19"/>
      <c r="G3" s="19"/>
      <c r="H3" s="20"/>
      <c r="I3" s="20"/>
      <c r="J3" s="20"/>
      <c r="K3" s="20"/>
      <c r="L3" s="20"/>
      <c r="M3" s="20"/>
      <c r="N3" s="20"/>
      <c r="O3" s="20"/>
      <c r="P3" s="20"/>
      <c r="Q3" s="20"/>
      <c r="R3" s="20"/>
      <c r="S3" s="18"/>
      <c r="T3" s="18"/>
      <c r="U3" s="18"/>
      <c r="V3" s="20"/>
      <c r="W3" s="20"/>
      <c r="X3" s="20"/>
      <c r="Y3" s="20"/>
    </row>
    <row r="4" spans="1:29" ht="6" customHeight="1">
      <c r="B4" s="21"/>
      <c r="D4" s="20"/>
      <c r="E4" s="20"/>
      <c r="F4" s="20"/>
      <c r="G4" s="20"/>
      <c r="H4" s="20"/>
      <c r="I4" s="20"/>
      <c r="J4" s="20"/>
      <c r="K4" s="20"/>
      <c r="L4" s="20"/>
      <c r="M4" s="20"/>
      <c r="N4" s="20"/>
      <c r="O4" s="20"/>
      <c r="P4" s="20"/>
      <c r="Q4" s="20"/>
      <c r="R4" s="20"/>
      <c r="S4" s="20"/>
      <c r="T4" s="20"/>
      <c r="U4" s="20"/>
      <c r="V4" s="20"/>
      <c r="W4" s="20"/>
      <c r="X4" s="20"/>
      <c r="Y4" s="20"/>
    </row>
    <row r="5" spans="1:29" ht="32.25" customHeight="1">
      <c r="A5" s="22"/>
      <c r="B5" s="1049" t="s">
        <v>1100</v>
      </c>
      <c r="C5" s="1050"/>
      <c r="D5" s="1050"/>
      <c r="E5" s="1050"/>
      <c r="F5" s="1050"/>
      <c r="G5" s="1050"/>
      <c r="H5" s="1050"/>
      <c r="I5" s="1050"/>
      <c r="J5" s="1050"/>
      <c r="K5" s="1050"/>
      <c r="L5" s="1050"/>
      <c r="M5" s="1050"/>
      <c r="N5" s="1050"/>
      <c r="O5" s="1050"/>
      <c r="P5" s="1050"/>
      <c r="Q5" s="1050"/>
      <c r="R5" s="1050"/>
      <c r="S5" s="1050"/>
      <c r="T5" s="1050"/>
      <c r="U5" s="1050"/>
      <c r="V5" s="1050"/>
      <c r="W5" s="1050"/>
      <c r="X5" s="1050"/>
      <c r="Y5" s="1051"/>
      <c r="Z5" s="49"/>
      <c r="AB5" s="22"/>
      <c r="AC5" s="22"/>
    </row>
    <row r="6" spans="1:29" ht="13.95" customHeight="1">
      <c r="A6" s="23"/>
      <c r="B6" s="51"/>
      <c r="C6" s="51"/>
      <c r="D6" s="24"/>
      <c r="E6" s="24"/>
      <c r="F6" s="24"/>
      <c r="G6" s="24"/>
      <c r="H6" s="24"/>
      <c r="I6" s="24"/>
      <c r="J6" s="24"/>
      <c r="K6" s="24"/>
      <c r="L6" s="24"/>
      <c r="M6" s="24"/>
      <c r="N6" s="24"/>
      <c r="O6" s="24"/>
      <c r="P6" s="24"/>
      <c r="Q6" s="24"/>
      <c r="R6" s="24"/>
      <c r="S6" s="24"/>
      <c r="T6" s="24"/>
      <c r="U6" s="24"/>
      <c r="V6" s="24"/>
      <c r="W6" s="24"/>
      <c r="X6" s="24"/>
      <c r="Y6" s="47"/>
      <c r="Z6" s="23"/>
    </row>
    <row r="7" spans="1:29" ht="15" customHeight="1">
      <c r="A7" s="23"/>
      <c r="B7" s="23"/>
      <c r="C7" s="25"/>
      <c r="D7" s="24"/>
      <c r="E7" s="1052" t="s">
        <v>1156</v>
      </c>
      <c r="F7" s="1052"/>
      <c r="G7" s="1052"/>
      <c r="H7" s="1052"/>
      <c r="I7" s="1052"/>
      <c r="J7" s="1052"/>
      <c r="K7" s="1052"/>
      <c r="L7" s="1052"/>
      <c r="M7" s="1052"/>
      <c r="N7" s="1052"/>
      <c r="O7" s="1052"/>
      <c r="P7" s="1052"/>
      <c r="Q7" s="1052"/>
      <c r="R7" s="1052"/>
      <c r="S7" s="1052"/>
      <c r="T7" s="1052"/>
      <c r="U7" s="1052"/>
      <c r="V7" s="1052"/>
      <c r="W7" s="1052"/>
      <c r="X7" s="1052"/>
      <c r="Y7" s="47"/>
      <c r="Z7" s="23"/>
    </row>
    <row r="8" spans="1:29" ht="15" customHeight="1">
      <c r="A8" s="23"/>
      <c r="B8" s="23"/>
      <c r="C8" s="25"/>
      <c r="D8" s="24"/>
      <c r="E8" s="1052"/>
      <c r="F8" s="1052"/>
      <c r="G8" s="1052"/>
      <c r="H8" s="1052"/>
      <c r="I8" s="1052"/>
      <c r="J8" s="1052"/>
      <c r="K8" s="1052"/>
      <c r="L8" s="1052"/>
      <c r="M8" s="1052"/>
      <c r="N8" s="1052"/>
      <c r="O8" s="1052"/>
      <c r="P8" s="1052"/>
      <c r="Q8" s="1052"/>
      <c r="R8" s="1052"/>
      <c r="S8" s="1052"/>
      <c r="T8" s="1052"/>
      <c r="U8" s="1052"/>
      <c r="V8" s="1052"/>
      <c r="W8" s="1052"/>
      <c r="X8" s="1052"/>
      <c r="Y8" s="47"/>
      <c r="Z8" s="23"/>
    </row>
    <row r="9" spans="1:29" ht="15" customHeight="1">
      <c r="A9" s="23"/>
      <c r="B9" s="23"/>
      <c r="C9" s="25"/>
      <c r="D9" s="24"/>
      <c r="E9" s="1052"/>
      <c r="F9" s="1052"/>
      <c r="G9" s="1052"/>
      <c r="H9" s="1052"/>
      <c r="I9" s="1052"/>
      <c r="J9" s="1052"/>
      <c r="K9" s="1052"/>
      <c r="L9" s="1052"/>
      <c r="M9" s="1052"/>
      <c r="N9" s="1052"/>
      <c r="O9" s="1052"/>
      <c r="P9" s="1052"/>
      <c r="Q9" s="1052"/>
      <c r="R9" s="1052"/>
      <c r="S9" s="1052"/>
      <c r="T9" s="1052"/>
      <c r="U9" s="1052"/>
      <c r="V9" s="1052"/>
      <c r="W9" s="1052"/>
      <c r="X9" s="1052"/>
      <c r="Y9" s="47"/>
      <c r="Z9" s="23"/>
    </row>
    <row r="10" spans="1:29" ht="10.5" customHeight="1">
      <c r="A10" s="23"/>
      <c r="B10" s="23"/>
      <c r="C10" s="25"/>
      <c r="D10" s="24"/>
      <c r="E10" s="1052"/>
      <c r="F10" s="1052"/>
      <c r="G10" s="1052"/>
      <c r="H10" s="1052"/>
      <c r="I10" s="1052"/>
      <c r="J10" s="1052"/>
      <c r="K10" s="1052"/>
      <c r="L10" s="1052"/>
      <c r="M10" s="1052"/>
      <c r="N10" s="1052"/>
      <c r="O10" s="1052"/>
      <c r="P10" s="1052"/>
      <c r="Q10" s="1052"/>
      <c r="R10" s="1052"/>
      <c r="S10" s="1052"/>
      <c r="T10" s="1052"/>
      <c r="U10" s="1052"/>
      <c r="V10" s="1052"/>
      <c r="W10" s="1052"/>
      <c r="X10" s="1052"/>
      <c r="Y10" s="47"/>
      <c r="Z10" s="23"/>
    </row>
    <row r="11" spans="1:29" ht="27" customHeight="1">
      <c r="A11" s="23"/>
      <c r="B11" s="23"/>
      <c r="C11" s="25"/>
      <c r="D11" s="24"/>
      <c r="E11" s="1052"/>
      <c r="F11" s="1052"/>
      <c r="G11" s="1052"/>
      <c r="H11" s="1052"/>
      <c r="I11" s="1052"/>
      <c r="J11" s="1052"/>
      <c r="K11" s="1052"/>
      <c r="L11" s="1052"/>
      <c r="M11" s="1052"/>
      <c r="N11" s="1052"/>
      <c r="O11" s="1052"/>
      <c r="P11" s="1052"/>
      <c r="Q11" s="1052"/>
      <c r="R11" s="1052"/>
      <c r="S11" s="1052"/>
      <c r="T11" s="1052"/>
      <c r="U11" s="1052"/>
      <c r="V11" s="1052"/>
      <c r="W11" s="1052"/>
      <c r="X11" s="1052"/>
      <c r="Y11" s="47"/>
      <c r="Z11" s="23"/>
    </row>
    <row r="12" spans="1:29" ht="12" customHeight="1">
      <c r="A12" s="23"/>
      <c r="B12" s="23"/>
      <c r="C12" s="25"/>
      <c r="D12" s="24"/>
      <c r="E12" s="1052"/>
      <c r="F12" s="1052"/>
      <c r="G12" s="1052"/>
      <c r="H12" s="1052"/>
      <c r="I12" s="1052"/>
      <c r="J12" s="1052"/>
      <c r="K12" s="1052"/>
      <c r="L12" s="1052"/>
      <c r="M12" s="1052"/>
      <c r="N12" s="1052"/>
      <c r="O12" s="1052"/>
      <c r="P12" s="1052"/>
      <c r="Q12" s="1052"/>
      <c r="R12" s="1052"/>
      <c r="S12" s="1052"/>
      <c r="T12" s="1052"/>
      <c r="U12" s="1052"/>
      <c r="V12" s="1052"/>
      <c r="W12" s="1052"/>
      <c r="X12" s="1052"/>
      <c r="Y12" s="47"/>
      <c r="Z12" s="23"/>
    </row>
    <row r="13" spans="1:29" ht="38.25" customHeight="1">
      <c r="A13" s="23"/>
      <c r="B13" s="23"/>
      <c r="C13" s="25"/>
      <c r="D13" s="24"/>
      <c r="E13" s="1052"/>
      <c r="F13" s="1052"/>
      <c r="G13" s="1052"/>
      <c r="H13" s="1052"/>
      <c r="I13" s="1052"/>
      <c r="J13" s="1052"/>
      <c r="K13" s="1052"/>
      <c r="L13" s="1052"/>
      <c r="M13" s="1052"/>
      <c r="N13" s="1052"/>
      <c r="O13" s="1052"/>
      <c r="P13" s="1052"/>
      <c r="Q13" s="1052"/>
      <c r="R13" s="1052"/>
      <c r="S13" s="1052"/>
      <c r="T13" s="1052"/>
      <c r="U13" s="1052"/>
      <c r="V13" s="1052"/>
      <c r="W13" s="1052"/>
      <c r="X13" s="1052"/>
      <c r="Y13" s="48"/>
      <c r="Z13" s="23"/>
    </row>
    <row r="14" spans="1:29" ht="15" customHeight="1">
      <c r="A14" s="23"/>
      <c r="B14" s="23"/>
      <c r="C14" s="25"/>
      <c r="D14" s="24"/>
      <c r="E14" s="1052" t="s">
        <v>175</v>
      </c>
      <c r="F14" s="1052"/>
      <c r="G14" s="1052"/>
      <c r="H14" s="1052"/>
      <c r="I14" s="1052"/>
      <c r="J14" s="1052"/>
      <c r="K14" s="1052"/>
      <c r="L14" s="1052"/>
      <c r="M14" s="1052"/>
      <c r="N14" s="1052"/>
      <c r="O14" s="1052"/>
      <c r="P14" s="1052"/>
      <c r="Q14" s="1052"/>
      <c r="R14" s="1052"/>
      <c r="S14" s="1052"/>
      <c r="T14" s="1052"/>
      <c r="U14" s="1052"/>
      <c r="V14" s="1052"/>
      <c r="W14" s="1052"/>
      <c r="X14" s="1052"/>
      <c r="Y14" s="47"/>
      <c r="Z14" s="23"/>
    </row>
    <row r="15" spans="1:29">
      <c r="A15" s="23"/>
      <c r="B15" s="23"/>
      <c r="C15" s="25"/>
      <c r="D15" s="24"/>
      <c r="E15" s="1052"/>
      <c r="F15" s="1052"/>
      <c r="G15" s="1052"/>
      <c r="H15" s="1052"/>
      <c r="I15" s="1052"/>
      <c r="J15" s="1052"/>
      <c r="K15" s="1052"/>
      <c r="L15" s="1052"/>
      <c r="M15" s="1052"/>
      <c r="N15" s="1052"/>
      <c r="O15" s="1052"/>
      <c r="P15" s="1052"/>
      <c r="Q15" s="1052"/>
      <c r="R15" s="1052"/>
      <c r="S15" s="1052"/>
      <c r="T15" s="1052"/>
      <c r="U15" s="1052"/>
      <c r="V15" s="1052"/>
      <c r="W15" s="1052"/>
      <c r="X15" s="1052"/>
      <c r="Y15" s="47"/>
      <c r="Z15" s="23"/>
    </row>
    <row r="16" spans="1:29">
      <c r="A16" s="23"/>
      <c r="B16" s="23"/>
      <c r="C16" s="25"/>
      <c r="D16" s="24"/>
      <c r="E16" s="1052"/>
      <c r="F16" s="1052"/>
      <c r="G16" s="1052"/>
      <c r="H16" s="1052"/>
      <c r="I16" s="1052"/>
      <c r="J16" s="1052"/>
      <c r="K16" s="1052"/>
      <c r="L16" s="1052"/>
      <c r="M16" s="1052"/>
      <c r="N16" s="1052"/>
      <c r="O16" s="1052"/>
      <c r="P16" s="1052"/>
      <c r="Q16" s="1052"/>
      <c r="R16" s="1052"/>
      <c r="S16" s="1052"/>
      <c r="T16" s="1052"/>
      <c r="U16" s="1052"/>
      <c r="V16" s="1052"/>
      <c r="W16" s="1052"/>
      <c r="X16" s="1052"/>
      <c r="Y16" s="47"/>
      <c r="Z16" s="23"/>
    </row>
    <row r="17" spans="1:26" ht="15" customHeight="1">
      <c r="A17" s="23"/>
      <c r="B17" s="23"/>
      <c r="C17" s="25"/>
      <c r="D17" s="24"/>
      <c r="E17" s="1052"/>
      <c r="F17" s="1052"/>
      <c r="G17" s="1052"/>
      <c r="H17" s="1052"/>
      <c r="I17" s="1052"/>
      <c r="J17" s="1052"/>
      <c r="K17" s="1052"/>
      <c r="L17" s="1052"/>
      <c r="M17" s="1052"/>
      <c r="N17" s="1052"/>
      <c r="O17" s="1052"/>
      <c r="P17" s="1052"/>
      <c r="Q17" s="1052"/>
      <c r="R17" s="1052"/>
      <c r="S17" s="1052"/>
      <c r="T17" s="1052"/>
      <c r="U17" s="1052"/>
      <c r="V17" s="1052"/>
      <c r="W17" s="1052"/>
      <c r="X17" s="1052"/>
      <c r="Y17" s="47"/>
      <c r="Z17" s="23"/>
    </row>
    <row r="18" spans="1:26">
      <c r="A18" s="23"/>
      <c r="B18" s="23"/>
      <c r="C18" s="25"/>
      <c r="D18" s="24"/>
      <c r="E18" s="1052"/>
      <c r="F18" s="1052"/>
      <c r="G18" s="1052"/>
      <c r="H18" s="1052"/>
      <c r="I18" s="1052"/>
      <c r="J18" s="1052"/>
      <c r="K18" s="1052"/>
      <c r="L18" s="1052"/>
      <c r="M18" s="1052"/>
      <c r="N18" s="1052"/>
      <c r="O18" s="1052"/>
      <c r="P18" s="1052"/>
      <c r="Q18" s="1052"/>
      <c r="R18" s="1052"/>
      <c r="S18" s="1052"/>
      <c r="T18" s="1052"/>
      <c r="U18" s="1052"/>
      <c r="V18" s="1052"/>
      <c r="W18" s="1052"/>
      <c r="X18" s="1052"/>
      <c r="Y18" s="47"/>
      <c r="Z18" s="23"/>
    </row>
    <row r="19" spans="1:26" ht="59.25" customHeight="1">
      <c r="A19" s="23"/>
      <c r="B19" s="23"/>
      <c r="C19" s="25"/>
      <c r="D19" s="25"/>
      <c r="E19" s="1052"/>
      <c r="F19" s="1052"/>
      <c r="G19" s="1052"/>
      <c r="H19" s="1052"/>
      <c r="I19" s="1052"/>
      <c r="J19" s="1052"/>
      <c r="K19" s="1052"/>
      <c r="L19" s="1052"/>
      <c r="M19" s="1052"/>
      <c r="N19" s="1052"/>
      <c r="O19" s="1052"/>
      <c r="P19" s="1052"/>
      <c r="Q19" s="1052"/>
      <c r="R19" s="1052"/>
      <c r="S19" s="1052"/>
      <c r="T19" s="1052"/>
      <c r="U19" s="1052"/>
      <c r="V19" s="1052"/>
      <c r="W19" s="1052"/>
      <c r="X19" s="1052"/>
      <c r="Y19" s="47"/>
      <c r="Z19" s="23"/>
    </row>
    <row r="20" spans="1:26" hidden="1">
      <c r="A20" s="23"/>
      <c r="B20" s="23"/>
      <c r="C20" s="25"/>
      <c r="D20" s="25"/>
      <c r="E20" s="25"/>
      <c r="F20" s="25"/>
      <c r="G20" s="25"/>
      <c r="H20" s="25"/>
      <c r="I20" s="25"/>
      <c r="J20" s="25"/>
      <c r="K20" s="25"/>
      <c r="L20" s="25"/>
      <c r="M20" s="25"/>
      <c r="N20" s="25"/>
      <c r="O20" s="25"/>
      <c r="P20" s="25"/>
      <c r="Q20" s="25"/>
      <c r="R20" s="25"/>
      <c r="S20" s="25"/>
      <c r="T20" s="25"/>
      <c r="U20" s="25"/>
      <c r="V20" s="25"/>
      <c r="W20" s="25"/>
      <c r="X20" s="25"/>
      <c r="Y20" s="47"/>
      <c r="Z20" s="23"/>
    </row>
    <row r="21" spans="1:26" ht="14.25" hidden="1" customHeight="1">
      <c r="A21" s="23"/>
      <c r="B21" s="23"/>
      <c r="C21" s="25"/>
      <c r="D21" s="24"/>
      <c r="E21" s="26" t="s">
        <v>161</v>
      </c>
      <c r="F21" s="1043" t="s">
        <v>162</v>
      </c>
      <c r="G21" s="1044"/>
      <c r="H21" s="1044"/>
      <c r="I21" s="1044"/>
      <c r="J21" s="1044"/>
      <c r="K21" s="1044"/>
      <c r="L21" s="1044"/>
      <c r="M21" s="1044"/>
      <c r="N21" s="27"/>
      <c r="O21" s="28" t="s">
        <v>161</v>
      </c>
      <c r="P21" s="1045" t="s">
        <v>163</v>
      </c>
      <c r="Q21" s="1046"/>
      <c r="R21" s="1046"/>
      <c r="S21" s="1046"/>
      <c r="T21" s="1046"/>
      <c r="U21" s="1046"/>
      <c r="V21" s="1046"/>
      <c r="W21" s="1046"/>
      <c r="X21" s="1046"/>
      <c r="Y21" s="47"/>
      <c r="Z21" s="23"/>
    </row>
    <row r="22" spans="1:26" ht="19.2" hidden="1" customHeight="1">
      <c r="A22" s="23"/>
      <c r="B22" s="23"/>
      <c r="C22" s="25"/>
      <c r="D22" s="24"/>
      <c r="E22" s="29" t="s">
        <v>161</v>
      </c>
      <c r="F22" s="1043" t="s">
        <v>164</v>
      </c>
      <c r="G22" s="1044"/>
      <c r="H22" s="1044"/>
      <c r="I22" s="1044"/>
      <c r="J22" s="1044"/>
      <c r="K22" s="1044"/>
      <c r="L22" s="1044"/>
      <c r="M22" s="1044"/>
      <c r="N22" s="27"/>
      <c r="O22" s="30" t="s">
        <v>161</v>
      </c>
      <c r="P22" s="1045" t="s">
        <v>165</v>
      </c>
      <c r="Q22" s="1046"/>
      <c r="R22" s="1046"/>
      <c r="S22" s="1046"/>
      <c r="T22" s="1046"/>
      <c r="U22" s="1046"/>
      <c r="V22" s="1046"/>
      <c r="W22" s="1046"/>
      <c r="X22" s="1046"/>
      <c r="Y22" s="47"/>
      <c r="Z22" s="23"/>
    </row>
    <row r="23" spans="1:26" ht="27" hidden="1" customHeight="1">
      <c r="A23" s="23"/>
      <c r="B23" s="23"/>
      <c r="C23" s="25"/>
      <c r="D23" s="24"/>
      <c r="E23" s="24"/>
      <c r="F23" s="24"/>
      <c r="G23" s="24"/>
      <c r="H23" s="24"/>
      <c r="I23" s="24"/>
      <c r="J23" s="24"/>
      <c r="K23" s="24"/>
      <c r="L23" s="24"/>
      <c r="M23" s="24"/>
      <c r="N23" s="24"/>
      <c r="O23" s="24"/>
      <c r="P23" s="24"/>
      <c r="Q23" s="24"/>
      <c r="R23" s="24"/>
      <c r="S23" s="24"/>
      <c r="T23" s="24"/>
      <c r="U23" s="24"/>
      <c r="V23" s="24"/>
      <c r="W23" s="24"/>
      <c r="X23" s="24"/>
      <c r="Y23" s="47"/>
      <c r="Z23" s="23"/>
    </row>
    <row r="24" spans="1:26" ht="10.5" hidden="1" customHeight="1">
      <c r="A24" s="23"/>
      <c r="B24" s="23"/>
      <c r="C24" s="25"/>
      <c r="D24" s="24"/>
      <c r="E24" s="24"/>
      <c r="F24" s="24"/>
      <c r="G24" s="24"/>
      <c r="H24" s="24"/>
      <c r="I24" s="24"/>
      <c r="J24" s="24"/>
      <c r="K24" s="24"/>
      <c r="L24" s="24"/>
      <c r="M24" s="24"/>
      <c r="N24" s="24"/>
      <c r="O24" s="24"/>
      <c r="P24" s="24"/>
      <c r="Q24" s="24"/>
      <c r="R24" s="24"/>
      <c r="S24" s="24"/>
      <c r="T24" s="24"/>
      <c r="U24" s="24"/>
      <c r="V24" s="24"/>
      <c r="W24" s="24"/>
      <c r="X24" s="24"/>
      <c r="Y24" s="47"/>
      <c r="Z24" s="23"/>
    </row>
    <row r="25" spans="1:26" ht="27" hidden="1" customHeight="1">
      <c r="A25" s="23"/>
      <c r="B25" s="23"/>
      <c r="C25" s="25"/>
      <c r="D25" s="24"/>
      <c r="E25" s="24"/>
      <c r="F25" s="24"/>
      <c r="G25" s="24"/>
      <c r="H25" s="24"/>
      <c r="I25" s="24"/>
      <c r="J25" s="24"/>
      <c r="K25" s="24"/>
      <c r="L25" s="24"/>
      <c r="M25" s="24"/>
      <c r="N25" s="24"/>
      <c r="O25" s="24"/>
      <c r="P25" s="24"/>
      <c r="Q25" s="24"/>
      <c r="R25" s="24"/>
      <c r="S25" s="24"/>
      <c r="T25" s="24"/>
      <c r="U25" s="24"/>
      <c r="V25" s="24"/>
      <c r="W25" s="24"/>
      <c r="X25" s="24"/>
      <c r="Y25" s="47"/>
      <c r="Z25" s="23"/>
    </row>
    <row r="26" spans="1:26" ht="12" hidden="1" customHeight="1">
      <c r="A26" s="23"/>
      <c r="B26" s="23"/>
      <c r="C26" s="25"/>
      <c r="D26" s="24"/>
      <c r="E26" s="24"/>
      <c r="F26" s="24"/>
      <c r="G26" s="24"/>
      <c r="H26" s="24"/>
      <c r="I26" s="24"/>
      <c r="J26" s="24"/>
      <c r="K26" s="24"/>
      <c r="L26" s="24"/>
      <c r="M26" s="24"/>
      <c r="N26" s="24"/>
      <c r="O26" s="24"/>
      <c r="P26" s="24"/>
      <c r="Q26" s="24"/>
      <c r="R26" s="24"/>
      <c r="S26" s="24"/>
      <c r="T26" s="24"/>
      <c r="U26" s="24"/>
      <c r="V26" s="24"/>
      <c r="W26" s="24"/>
      <c r="X26" s="24"/>
      <c r="Y26" s="47"/>
      <c r="Z26" s="23"/>
    </row>
    <row r="27" spans="1:26" ht="38.25" hidden="1" customHeight="1">
      <c r="A27" s="23"/>
      <c r="B27" s="23"/>
      <c r="C27" s="25"/>
      <c r="D27" s="24"/>
      <c r="E27" s="24"/>
      <c r="F27" s="24"/>
      <c r="G27" s="24"/>
      <c r="H27" s="24"/>
      <c r="I27" s="24"/>
      <c r="J27" s="24"/>
      <c r="K27" s="24"/>
      <c r="L27" s="24"/>
      <c r="M27" s="24"/>
      <c r="N27" s="24"/>
      <c r="O27" s="24"/>
      <c r="P27" s="24"/>
      <c r="Q27" s="24"/>
      <c r="R27" s="24"/>
      <c r="S27" s="24"/>
      <c r="T27" s="24"/>
      <c r="U27" s="24"/>
      <c r="V27" s="24"/>
      <c r="W27" s="24"/>
      <c r="X27" s="24"/>
      <c r="Y27" s="47"/>
      <c r="Z27" s="23"/>
    </row>
    <row r="28" spans="1:26" hidden="1">
      <c r="A28" s="23"/>
      <c r="B28" s="23"/>
      <c r="C28" s="25"/>
      <c r="D28" s="24"/>
      <c r="E28" s="24"/>
      <c r="F28" s="24"/>
      <c r="G28" s="24"/>
      <c r="H28" s="24"/>
      <c r="I28" s="24"/>
      <c r="J28" s="24"/>
      <c r="K28" s="24"/>
      <c r="L28" s="24"/>
      <c r="M28" s="24"/>
      <c r="N28" s="24"/>
      <c r="O28" s="24"/>
      <c r="P28" s="24"/>
      <c r="Q28" s="24"/>
      <c r="R28" s="24"/>
      <c r="S28" s="24"/>
      <c r="T28" s="24"/>
      <c r="U28" s="24"/>
      <c r="V28" s="24"/>
      <c r="W28" s="24"/>
      <c r="X28" s="24"/>
      <c r="Y28" s="47"/>
      <c r="Z28" s="23"/>
    </row>
    <row r="29" spans="1:26" hidden="1">
      <c r="A29" s="23"/>
      <c r="B29" s="23"/>
      <c r="C29" s="25"/>
      <c r="D29" s="24"/>
      <c r="E29" s="24"/>
      <c r="F29" s="24"/>
      <c r="G29" s="24"/>
      <c r="H29" s="24"/>
      <c r="I29" s="24"/>
      <c r="J29" s="24"/>
      <c r="K29" s="24"/>
      <c r="L29" s="24"/>
      <c r="M29" s="24"/>
      <c r="N29" s="24"/>
      <c r="O29" s="24"/>
      <c r="P29" s="24"/>
      <c r="Q29" s="24"/>
      <c r="R29" s="24"/>
      <c r="S29" s="24"/>
      <c r="T29" s="24"/>
      <c r="U29" s="24"/>
      <c r="V29" s="24"/>
      <c r="W29" s="24"/>
      <c r="X29" s="24"/>
      <c r="Y29" s="47"/>
      <c r="Z29" s="23"/>
    </row>
    <row r="30" spans="1:26" hidden="1">
      <c r="A30" s="23"/>
      <c r="B30" s="23"/>
      <c r="C30" s="25"/>
      <c r="D30" s="24"/>
      <c r="E30" s="24"/>
      <c r="F30" s="24"/>
      <c r="G30" s="24"/>
      <c r="H30" s="24"/>
      <c r="I30" s="24"/>
      <c r="J30" s="24"/>
      <c r="K30" s="24"/>
      <c r="L30" s="24"/>
      <c r="M30" s="24"/>
      <c r="N30" s="24"/>
      <c r="O30" s="24"/>
      <c r="P30" s="24"/>
      <c r="Q30" s="24"/>
      <c r="R30" s="24"/>
      <c r="S30" s="24"/>
      <c r="T30" s="24"/>
      <c r="U30" s="24"/>
      <c r="V30" s="24"/>
      <c r="W30" s="24"/>
      <c r="X30" s="24"/>
      <c r="Y30" s="47"/>
      <c r="Z30" s="23"/>
    </row>
    <row r="31" spans="1:26" hidden="1">
      <c r="A31" s="23"/>
      <c r="B31" s="23"/>
      <c r="C31" s="25"/>
      <c r="D31" s="24"/>
      <c r="E31" s="24"/>
      <c r="F31" s="24"/>
      <c r="G31" s="24"/>
      <c r="H31" s="24"/>
      <c r="I31" s="24"/>
      <c r="J31" s="24"/>
      <c r="K31" s="24"/>
      <c r="L31" s="24"/>
      <c r="M31" s="24"/>
      <c r="N31" s="24"/>
      <c r="O31" s="24"/>
      <c r="P31" s="24"/>
      <c r="Q31" s="24"/>
      <c r="R31" s="24"/>
      <c r="S31" s="24"/>
      <c r="T31" s="24"/>
      <c r="U31" s="24"/>
      <c r="V31" s="24"/>
      <c r="W31" s="24"/>
      <c r="X31" s="24"/>
      <c r="Y31" s="47"/>
      <c r="Z31" s="23"/>
    </row>
    <row r="32" spans="1:26" hidden="1">
      <c r="A32" s="23"/>
      <c r="B32" s="23"/>
      <c r="C32" s="25"/>
      <c r="D32" s="24"/>
      <c r="E32" s="24"/>
      <c r="F32" s="24"/>
      <c r="G32" s="24"/>
      <c r="H32" s="24"/>
      <c r="I32" s="24"/>
      <c r="J32" s="24"/>
      <c r="K32" s="24"/>
      <c r="L32" s="24"/>
      <c r="M32" s="24"/>
      <c r="N32" s="24"/>
      <c r="O32" s="24"/>
      <c r="P32" s="24"/>
      <c r="Q32" s="24"/>
      <c r="R32" s="24"/>
      <c r="S32" s="24"/>
      <c r="T32" s="24"/>
      <c r="U32" s="24"/>
      <c r="V32" s="24"/>
      <c r="W32" s="24"/>
      <c r="X32" s="24"/>
      <c r="Y32" s="47"/>
      <c r="Z32" s="23"/>
    </row>
    <row r="33" spans="1:26" ht="18.75" hidden="1" customHeight="1">
      <c r="A33" s="23"/>
      <c r="B33" s="23"/>
      <c r="C33" s="25"/>
      <c r="D33" s="25"/>
      <c r="E33" s="25"/>
      <c r="F33" s="25"/>
      <c r="G33" s="25"/>
      <c r="H33" s="25"/>
      <c r="I33" s="25"/>
      <c r="J33" s="25"/>
      <c r="K33" s="25"/>
      <c r="L33" s="25"/>
      <c r="M33" s="25"/>
      <c r="N33" s="25"/>
      <c r="O33" s="25"/>
      <c r="P33" s="25"/>
      <c r="Q33" s="25"/>
      <c r="R33" s="25"/>
      <c r="S33" s="25"/>
      <c r="T33" s="25"/>
      <c r="U33" s="25"/>
      <c r="V33" s="25"/>
      <c r="W33" s="25"/>
      <c r="X33" s="25"/>
      <c r="Y33" s="47"/>
      <c r="Z33" s="23"/>
    </row>
    <row r="34" spans="1:26" hidden="1">
      <c r="A34" s="23"/>
      <c r="B34" s="23"/>
      <c r="C34" s="25"/>
      <c r="D34" s="25"/>
      <c r="E34" s="25"/>
      <c r="F34" s="25"/>
      <c r="G34" s="25"/>
      <c r="H34" s="25"/>
      <c r="I34" s="25"/>
      <c r="J34" s="25"/>
      <c r="K34" s="25"/>
      <c r="L34" s="25"/>
      <c r="M34" s="25"/>
      <c r="N34" s="25"/>
      <c r="O34" s="25"/>
      <c r="P34" s="25"/>
      <c r="Q34" s="25"/>
      <c r="R34" s="25"/>
      <c r="S34" s="25"/>
      <c r="T34" s="25"/>
      <c r="U34" s="25"/>
      <c r="V34" s="25"/>
      <c r="W34" s="25"/>
      <c r="X34" s="25"/>
      <c r="Y34" s="47"/>
      <c r="Z34" s="23"/>
    </row>
    <row r="35" spans="1:26" ht="24" hidden="1" customHeight="1">
      <c r="A35" s="23"/>
      <c r="B35" s="23"/>
      <c r="C35" s="25"/>
      <c r="D35" s="24"/>
      <c r="E35" s="1053" t="s">
        <v>184</v>
      </c>
      <c r="F35" s="1053"/>
      <c r="G35" s="1053"/>
      <c r="H35" s="1053"/>
      <c r="I35" s="1053"/>
      <c r="J35" s="1053"/>
      <c r="K35" s="1053"/>
      <c r="L35" s="1053"/>
      <c r="M35" s="1053"/>
      <c r="N35" s="1053"/>
      <c r="O35" s="1053"/>
      <c r="P35" s="1053"/>
      <c r="Q35" s="1053"/>
      <c r="R35" s="1053"/>
      <c r="S35" s="1053"/>
      <c r="T35" s="1053"/>
      <c r="U35" s="1053"/>
      <c r="V35" s="1053"/>
      <c r="W35" s="1053"/>
      <c r="X35" s="1053"/>
      <c r="Y35" s="47"/>
      <c r="Z35" s="23"/>
    </row>
    <row r="36" spans="1:26" ht="38.25" hidden="1" customHeight="1">
      <c r="A36" s="23"/>
      <c r="B36" s="23"/>
      <c r="C36" s="25"/>
      <c r="D36" s="24"/>
      <c r="E36" s="1053"/>
      <c r="F36" s="1053"/>
      <c r="G36" s="1053"/>
      <c r="H36" s="1053"/>
      <c r="I36" s="1053"/>
      <c r="J36" s="1053"/>
      <c r="K36" s="1053"/>
      <c r="L36" s="1053"/>
      <c r="M36" s="1053"/>
      <c r="N36" s="1053"/>
      <c r="O36" s="1053"/>
      <c r="P36" s="1053"/>
      <c r="Q36" s="1053"/>
      <c r="R36" s="1053"/>
      <c r="S36" s="1053"/>
      <c r="T36" s="1053"/>
      <c r="U36" s="1053"/>
      <c r="V36" s="1053"/>
      <c r="W36" s="1053"/>
      <c r="X36" s="1053"/>
      <c r="Y36" s="47"/>
      <c r="Z36" s="23"/>
    </row>
    <row r="37" spans="1:26" ht="9.75" hidden="1" customHeight="1">
      <c r="A37" s="23"/>
      <c r="B37" s="23"/>
      <c r="C37" s="25"/>
      <c r="D37" s="24"/>
      <c r="E37" s="1053"/>
      <c r="F37" s="1053"/>
      <c r="G37" s="1053"/>
      <c r="H37" s="1053"/>
      <c r="I37" s="1053"/>
      <c r="J37" s="1053"/>
      <c r="K37" s="1053"/>
      <c r="L37" s="1053"/>
      <c r="M37" s="1053"/>
      <c r="N37" s="1053"/>
      <c r="O37" s="1053"/>
      <c r="P37" s="1053"/>
      <c r="Q37" s="1053"/>
      <c r="R37" s="1053"/>
      <c r="S37" s="1053"/>
      <c r="T37" s="1053"/>
      <c r="U37" s="1053"/>
      <c r="V37" s="1053"/>
      <c r="W37" s="1053"/>
      <c r="X37" s="1053"/>
      <c r="Y37" s="47"/>
      <c r="Z37" s="23"/>
    </row>
    <row r="38" spans="1:26" ht="51" hidden="1" customHeight="1">
      <c r="A38" s="23"/>
      <c r="B38" s="23"/>
      <c r="C38" s="25"/>
      <c r="D38" s="24"/>
      <c r="E38" s="1053"/>
      <c r="F38" s="1053"/>
      <c r="G38" s="1053"/>
      <c r="H38" s="1053"/>
      <c r="I38" s="1053"/>
      <c r="J38" s="1053"/>
      <c r="K38" s="1053"/>
      <c r="L38" s="1053"/>
      <c r="M38" s="1053"/>
      <c r="N38" s="1053"/>
      <c r="O38" s="1053"/>
      <c r="P38" s="1053"/>
      <c r="Q38" s="1053"/>
      <c r="R38" s="1053"/>
      <c r="S38" s="1053"/>
      <c r="T38" s="1053"/>
      <c r="U38" s="1053"/>
      <c r="V38" s="1053"/>
      <c r="W38" s="1053"/>
      <c r="X38" s="1053"/>
      <c r="Y38" s="47"/>
      <c r="Z38" s="23"/>
    </row>
    <row r="39" spans="1:26" ht="15" hidden="1" customHeight="1">
      <c r="A39" s="23"/>
      <c r="B39" s="23"/>
      <c r="C39" s="25"/>
      <c r="D39" s="24"/>
      <c r="E39" s="1053"/>
      <c r="F39" s="1053"/>
      <c r="G39" s="1053"/>
      <c r="H39" s="1053"/>
      <c r="I39" s="1053"/>
      <c r="J39" s="1053"/>
      <c r="K39" s="1053"/>
      <c r="L39" s="1053"/>
      <c r="M39" s="1053"/>
      <c r="N39" s="1053"/>
      <c r="O39" s="1053"/>
      <c r="P39" s="1053"/>
      <c r="Q39" s="1053"/>
      <c r="R39" s="1053"/>
      <c r="S39" s="1053"/>
      <c r="T39" s="1053"/>
      <c r="U39" s="1053"/>
      <c r="V39" s="1053"/>
      <c r="W39" s="1053"/>
      <c r="X39" s="1053"/>
      <c r="Y39" s="47"/>
      <c r="Z39" s="23"/>
    </row>
    <row r="40" spans="1:26" ht="12" hidden="1" customHeight="1">
      <c r="A40" s="23"/>
      <c r="B40" s="23"/>
      <c r="C40" s="25"/>
      <c r="D40" s="24"/>
      <c r="E40" s="1054"/>
      <c r="F40" s="1054"/>
      <c r="G40" s="1054"/>
      <c r="H40" s="1054"/>
      <c r="I40" s="1054"/>
      <c r="J40" s="1054"/>
      <c r="K40" s="1054"/>
      <c r="L40" s="1054"/>
      <c r="M40" s="1054"/>
      <c r="N40" s="1054"/>
      <c r="O40" s="1054"/>
      <c r="P40" s="1054"/>
      <c r="Q40" s="1054"/>
      <c r="R40" s="1054"/>
      <c r="S40" s="1054"/>
      <c r="T40" s="1054"/>
      <c r="U40" s="1054"/>
      <c r="V40" s="1054"/>
      <c r="W40" s="1054"/>
      <c r="X40" s="1054"/>
      <c r="Y40" s="47"/>
      <c r="Z40" s="23"/>
    </row>
    <row r="41" spans="1:26" ht="38.25" hidden="1" customHeight="1">
      <c r="A41" s="23"/>
      <c r="B41" s="23"/>
      <c r="C41" s="25"/>
      <c r="D41" s="24"/>
      <c r="E41" s="1053"/>
      <c r="F41" s="1053"/>
      <c r="G41" s="1053"/>
      <c r="H41" s="1053"/>
      <c r="I41" s="1053"/>
      <c r="J41" s="1053"/>
      <c r="K41" s="1053"/>
      <c r="L41" s="1053"/>
      <c r="M41" s="1053"/>
      <c r="N41" s="1053"/>
      <c r="O41" s="1053"/>
      <c r="P41" s="1053"/>
      <c r="Q41" s="1053"/>
      <c r="R41" s="1053"/>
      <c r="S41" s="1053"/>
      <c r="T41" s="1053"/>
      <c r="U41" s="1053"/>
      <c r="V41" s="1053"/>
      <c r="W41" s="1053"/>
      <c r="X41" s="1053"/>
      <c r="Y41" s="47"/>
      <c r="Z41" s="23"/>
    </row>
    <row r="42" spans="1:26" hidden="1">
      <c r="A42" s="23"/>
      <c r="B42" s="23"/>
      <c r="C42" s="25"/>
      <c r="D42" s="24"/>
      <c r="E42" s="1053"/>
      <c r="F42" s="1053"/>
      <c r="G42" s="1053"/>
      <c r="H42" s="1053"/>
      <c r="I42" s="1053"/>
      <c r="J42" s="1053"/>
      <c r="K42" s="1053"/>
      <c r="L42" s="1053"/>
      <c r="M42" s="1053"/>
      <c r="N42" s="1053"/>
      <c r="O42" s="1053"/>
      <c r="P42" s="1053"/>
      <c r="Q42" s="1053"/>
      <c r="R42" s="1053"/>
      <c r="S42" s="1053"/>
      <c r="T42" s="1053"/>
      <c r="U42" s="1053"/>
      <c r="V42" s="1053"/>
      <c r="W42" s="1053"/>
      <c r="X42" s="1053"/>
      <c r="Y42" s="47"/>
      <c r="Z42" s="23"/>
    </row>
    <row r="43" spans="1:26" hidden="1">
      <c r="A43" s="23"/>
      <c r="B43" s="23"/>
      <c r="C43" s="25"/>
      <c r="D43" s="24"/>
      <c r="E43" s="1053"/>
      <c r="F43" s="1053"/>
      <c r="G43" s="1053"/>
      <c r="H43" s="1053"/>
      <c r="I43" s="1053"/>
      <c r="J43" s="1053"/>
      <c r="K43" s="1053"/>
      <c r="L43" s="1053"/>
      <c r="M43" s="1053"/>
      <c r="N43" s="1053"/>
      <c r="O43" s="1053"/>
      <c r="P43" s="1053"/>
      <c r="Q43" s="1053"/>
      <c r="R43" s="1053"/>
      <c r="S43" s="1053"/>
      <c r="T43" s="1053"/>
      <c r="U43" s="1053"/>
      <c r="V43" s="1053"/>
      <c r="W43" s="1053"/>
      <c r="X43" s="1053"/>
      <c r="Y43" s="47"/>
      <c r="Z43" s="23"/>
    </row>
    <row r="44" spans="1:26" ht="33.75" hidden="1" customHeight="1">
      <c r="A44" s="23"/>
      <c r="B44" s="23"/>
      <c r="C44" s="25"/>
      <c r="D44" s="25"/>
      <c r="E44" s="1053"/>
      <c r="F44" s="1053"/>
      <c r="G44" s="1053"/>
      <c r="H44" s="1053"/>
      <c r="I44" s="1053"/>
      <c r="J44" s="1053"/>
      <c r="K44" s="1053"/>
      <c r="L44" s="1053"/>
      <c r="M44" s="1053"/>
      <c r="N44" s="1053"/>
      <c r="O44" s="1053"/>
      <c r="P44" s="1053"/>
      <c r="Q44" s="1053"/>
      <c r="R44" s="1053"/>
      <c r="S44" s="1053"/>
      <c r="T44" s="1053"/>
      <c r="U44" s="1053"/>
      <c r="V44" s="1053"/>
      <c r="W44" s="1053"/>
      <c r="X44" s="1053"/>
      <c r="Y44" s="47"/>
      <c r="Z44" s="23"/>
    </row>
    <row r="45" spans="1:26" hidden="1">
      <c r="A45" s="23"/>
      <c r="B45" s="23"/>
      <c r="C45" s="25"/>
      <c r="D45" s="25"/>
      <c r="E45" s="1053"/>
      <c r="F45" s="1053"/>
      <c r="G45" s="1053"/>
      <c r="H45" s="1053"/>
      <c r="I45" s="1053"/>
      <c r="J45" s="1053"/>
      <c r="K45" s="1053"/>
      <c r="L45" s="1053"/>
      <c r="M45" s="1053"/>
      <c r="N45" s="1053"/>
      <c r="O45" s="1053"/>
      <c r="P45" s="1053"/>
      <c r="Q45" s="1053"/>
      <c r="R45" s="1053"/>
      <c r="S45" s="1053"/>
      <c r="T45" s="1053"/>
      <c r="U45" s="1053"/>
      <c r="V45" s="1053"/>
      <c r="W45" s="1053"/>
      <c r="X45" s="1053"/>
      <c r="Y45" s="47"/>
      <c r="Z45" s="23"/>
    </row>
    <row r="46" spans="1:26" ht="24" hidden="1" customHeight="1">
      <c r="A46" s="23"/>
      <c r="B46" s="23"/>
      <c r="C46" s="25"/>
      <c r="D46" s="24"/>
      <c r="E46" s="1057" t="s">
        <v>166</v>
      </c>
      <c r="F46" s="1057"/>
      <c r="G46" s="1057"/>
      <c r="H46" s="1057"/>
      <c r="I46" s="1057"/>
      <c r="J46" s="1057"/>
      <c r="K46" s="1057"/>
      <c r="L46" s="1057"/>
      <c r="M46" s="1057"/>
      <c r="N46" s="1057"/>
      <c r="O46" s="1057"/>
      <c r="P46" s="1057"/>
      <c r="Q46" s="1057"/>
      <c r="R46" s="1057"/>
      <c r="S46" s="1057"/>
      <c r="T46" s="1057"/>
      <c r="U46" s="1057"/>
      <c r="V46" s="1057"/>
      <c r="W46" s="1057"/>
      <c r="X46" s="1057"/>
      <c r="Y46" s="47"/>
      <c r="Z46" s="23"/>
    </row>
    <row r="47" spans="1:26" ht="37.5" hidden="1" customHeight="1">
      <c r="A47" s="23"/>
      <c r="B47" s="23"/>
      <c r="C47" s="25"/>
      <c r="D47" s="24"/>
      <c r="E47" s="1057"/>
      <c r="F47" s="1057"/>
      <c r="G47" s="1057"/>
      <c r="H47" s="1057"/>
      <c r="I47" s="1057"/>
      <c r="J47" s="1057"/>
      <c r="K47" s="1057"/>
      <c r="L47" s="1057"/>
      <c r="M47" s="1057"/>
      <c r="N47" s="1057"/>
      <c r="O47" s="1057"/>
      <c r="P47" s="1057"/>
      <c r="Q47" s="1057"/>
      <c r="R47" s="1057"/>
      <c r="S47" s="1057"/>
      <c r="T47" s="1057"/>
      <c r="U47" s="1057"/>
      <c r="V47" s="1057"/>
      <c r="W47" s="1057"/>
      <c r="X47" s="1057"/>
      <c r="Y47" s="47"/>
      <c r="Z47" s="23"/>
    </row>
    <row r="48" spans="1:26" ht="28.2" hidden="1" customHeight="1">
      <c r="A48" s="23"/>
      <c r="B48" s="23"/>
      <c r="C48" s="25"/>
      <c r="D48" s="24"/>
      <c r="E48" s="1057"/>
      <c r="F48" s="1057"/>
      <c r="G48" s="1057"/>
      <c r="H48" s="1057"/>
      <c r="I48" s="1057"/>
      <c r="J48" s="1057"/>
      <c r="K48" s="1057"/>
      <c r="L48" s="1057"/>
      <c r="M48" s="1057"/>
      <c r="N48" s="1057"/>
      <c r="O48" s="1057"/>
      <c r="P48" s="1057"/>
      <c r="Q48" s="1057"/>
      <c r="R48" s="1057"/>
      <c r="S48" s="1057"/>
      <c r="T48" s="1057"/>
      <c r="U48" s="1057"/>
      <c r="V48" s="1057"/>
      <c r="W48" s="1057"/>
      <c r="X48" s="1057"/>
      <c r="Y48" s="47"/>
      <c r="Z48" s="23"/>
    </row>
    <row r="49" spans="1:26" ht="51" hidden="1" customHeight="1">
      <c r="A49" s="23"/>
      <c r="B49" s="23"/>
      <c r="C49" s="25"/>
      <c r="D49" s="24"/>
      <c r="E49" s="1057"/>
      <c r="F49" s="1057"/>
      <c r="G49" s="1057"/>
      <c r="H49" s="1057"/>
      <c r="I49" s="1057"/>
      <c r="J49" s="1057"/>
      <c r="K49" s="1057"/>
      <c r="L49" s="1057"/>
      <c r="M49" s="1057"/>
      <c r="N49" s="1057"/>
      <c r="O49" s="1057"/>
      <c r="P49" s="1057"/>
      <c r="Q49" s="1057"/>
      <c r="R49" s="1057"/>
      <c r="S49" s="1057"/>
      <c r="T49" s="1057"/>
      <c r="U49" s="1057"/>
      <c r="V49" s="1057"/>
      <c r="W49" s="1057"/>
      <c r="X49" s="1057"/>
      <c r="Y49" s="47"/>
      <c r="Z49" s="23"/>
    </row>
    <row r="50" spans="1:26" hidden="1">
      <c r="A50" s="23"/>
      <c r="B50" s="23"/>
      <c r="C50" s="25"/>
      <c r="D50" s="24"/>
      <c r="E50" s="1057"/>
      <c r="F50" s="1057"/>
      <c r="G50" s="1057"/>
      <c r="H50" s="1057"/>
      <c r="I50" s="1057"/>
      <c r="J50" s="1057"/>
      <c r="K50" s="1057"/>
      <c r="L50" s="1057"/>
      <c r="M50" s="1057"/>
      <c r="N50" s="1057"/>
      <c r="O50" s="1057"/>
      <c r="P50" s="1057"/>
      <c r="Q50" s="1057"/>
      <c r="R50" s="1057"/>
      <c r="S50" s="1057"/>
      <c r="T50" s="1057"/>
      <c r="U50" s="1057"/>
      <c r="V50" s="1057"/>
      <c r="W50" s="1057"/>
      <c r="X50" s="1057"/>
      <c r="Y50" s="47"/>
      <c r="Z50" s="23"/>
    </row>
    <row r="51" spans="1:26" hidden="1">
      <c r="A51" s="23"/>
      <c r="B51" s="23"/>
      <c r="C51" s="25"/>
      <c r="D51" s="24"/>
      <c r="E51" s="1057"/>
      <c r="F51" s="1057"/>
      <c r="G51" s="1057"/>
      <c r="H51" s="1057"/>
      <c r="I51" s="1057"/>
      <c r="J51" s="1057"/>
      <c r="K51" s="1057"/>
      <c r="L51" s="1057"/>
      <c r="M51" s="1057"/>
      <c r="N51" s="1057"/>
      <c r="O51" s="1057"/>
      <c r="P51" s="1057"/>
      <c r="Q51" s="1057"/>
      <c r="R51" s="1057"/>
      <c r="S51" s="1057"/>
      <c r="T51" s="1057"/>
      <c r="U51" s="1057"/>
      <c r="V51" s="1057"/>
      <c r="W51" s="1057"/>
      <c r="X51" s="1057"/>
      <c r="Y51" s="47"/>
      <c r="Z51" s="23"/>
    </row>
    <row r="52" spans="1:26" hidden="1">
      <c r="A52" s="23"/>
      <c r="B52" s="23"/>
      <c r="C52" s="25"/>
      <c r="D52" s="24"/>
      <c r="E52" s="1057"/>
      <c r="F52" s="1057"/>
      <c r="G52" s="1057"/>
      <c r="H52" s="1057"/>
      <c r="I52" s="1057"/>
      <c r="J52" s="1057"/>
      <c r="K52" s="1057"/>
      <c r="L52" s="1057"/>
      <c r="M52" s="1057"/>
      <c r="N52" s="1057"/>
      <c r="O52" s="1057"/>
      <c r="P52" s="1057"/>
      <c r="Q52" s="1057"/>
      <c r="R52" s="1057"/>
      <c r="S52" s="1057"/>
      <c r="T52" s="1057"/>
      <c r="U52" s="1057"/>
      <c r="V52" s="1057"/>
      <c r="W52" s="1057"/>
      <c r="X52" s="1057"/>
      <c r="Y52" s="47"/>
      <c r="Z52" s="23"/>
    </row>
    <row r="53" spans="1:26" hidden="1">
      <c r="A53" s="23"/>
      <c r="B53" s="23"/>
      <c r="C53" s="25"/>
      <c r="D53" s="24"/>
      <c r="E53" s="1057"/>
      <c r="F53" s="1057"/>
      <c r="G53" s="1057"/>
      <c r="H53" s="1057"/>
      <c r="I53" s="1057"/>
      <c r="J53" s="1057"/>
      <c r="K53" s="1057"/>
      <c r="L53" s="1057"/>
      <c r="M53" s="1057"/>
      <c r="N53" s="1057"/>
      <c r="O53" s="1057"/>
      <c r="P53" s="1057"/>
      <c r="Q53" s="1057"/>
      <c r="R53" s="1057"/>
      <c r="S53" s="1057"/>
      <c r="T53" s="1057"/>
      <c r="U53" s="1057"/>
      <c r="V53" s="1057"/>
      <c r="W53" s="1057"/>
      <c r="X53" s="1057"/>
      <c r="Y53" s="47"/>
      <c r="Z53" s="23"/>
    </row>
    <row r="54" spans="1:26" hidden="1">
      <c r="A54" s="23"/>
      <c r="B54" s="23"/>
      <c r="C54" s="25"/>
      <c r="D54" s="24"/>
      <c r="E54" s="1057"/>
      <c r="F54" s="1057"/>
      <c r="G54" s="1057"/>
      <c r="H54" s="1057"/>
      <c r="I54" s="1057"/>
      <c r="J54" s="1057"/>
      <c r="K54" s="1057"/>
      <c r="L54" s="1057"/>
      <c r="M54" s="1057"/>
      <c r="N54" s="1057"/>
      <c r="O54" s="1057"/>
      <c r="P54" s="1057"/>
      <c r="Q54" s="1057"/>
      <c r="R54" s="1057"/>
      <c r="S54" s="1057"/>
      <c r="T54" s="1057"/>
      <c r="U54" s="1057"/>
      <c r="V54" s="1057"/>
      <c r="W54" s="1057"/>
      <c r="X54" s="1057"/>
      <c r="Y54" s="47"/>
      <c r="Z54" s="23"/>
    </row>
    <row r="55" spans="1:26" hidden="1">
      <c r="A55" s="23"/>
      <c r="B55" s="23"/>
      <c r="C55" s="25"/>
      <c r="D55" s="24"/>
      <c r="E55" s="1057"/>
      <c r="F55" s="1057"/>
      <c r="G55" s="1057"/>
      <c r="H55" s="1057"/>
      <c r="I55" s="1057"/>
      <c r="J55" s="1057"/>
      <c r="K55" s="1057"/>
      <c r="L55" s="1057"/>
      <c r="M55" s="1057"/>
      <c r="N55" s="1057"/>
      <c r="O55" s="1057"/>
      <c r="P55" s="1057"/>
      <c r="Q55" s="1057"/>
      <c r="R55" s="1057"/>
      <c r="S55" s="1057"/>
      <c r="T55" s="1057"/>
      <c r="U55" s="1057"/>
      <c r="V55" s="1057"/>
      <c r="W55" s="1057"/>
      <c r="X55" s="1057"/>
      <c r="Y55" s="47"/>
      <c r="Z55" s="23"/>
    </row>
    <row r="56" spans="1:26" ht="25.5" hidden="1" customHeight="1">
      <c r="A56" s="23"/>
      <c r="B56" s="23"/>
      <c r="C56" s="25"/>
      <c r="D56" s="25"/>
      <c r="E56" s="1057"/>
      <c r="F56" s="1057"/>
      <c r="G56" s="1057"/>
      <c r="H56" s="1057"/>
      <c r="I56" s="1057"/>
      <c r="J56" s="1057"/>
      <c r="K56" s="1057"/>
      <c r="L56" s="1057"/>
      <c r="M56" s="1057"/>
      <c r="N56" s="1057"/>
      <c r="O56" s="1057"/>
      <c r="P56" s="1057"/>
      <c r="Q56" s="1057"/>
      <c r="R56" s="1057"/>
      <c r="S56" s="1057"/>
      <c r="T56" s="1057"/>
      <c r="U56" s="1057"/>
      <c r="V56" s="1057"/>
      <c r="W56" s="1057"/>
      <c r="X56" s="1057"/>
      <c r="Y56" s="47"/>
      <c r="Z56" s="23"/>
    </row>
    <row r="57" spans="1:26" hidden="1">
      <c r="A57" s="23"/>
      <c r="B57" s="23"/>
      <c r="C57" s="25"/>
      <c r="D57" s="25"/>
      <c r="E57" s="1057"/>
      <c r="F57" s="1057"/>
      <c r="G57" s="1057"/>
      <c r="H57" s="1057"/>
      <c r="I57" s="1057"/>
      <c r="J57" s="1057"/>
      <c r="K57" s="1057"/>
      <c r="L57" s="1057"/>
      <c r="M57" s="1057"/>
      <c r="N57" s="1057"/>
      <c r="O57" s="1057"/>
      <c r="P57" s="1057"/>
      <c r="Q57" s="1057"/>
      <c r="R57" s="1057"/>
      <c r="S57" s="1057"/>
      <c r="T57" s="1057"/>
      <c r="U57" s="1057"/>
      <c r="V57" s="1057"/>
      <c r="W57" s="1057"/>
      <c r="X57" s="1057"/>
      <c r="Y57" s="47"/>
      <c r="Z57" s="23"/>
    </row>
    <row r="58" spans="1:26" ht="15" hidden="1" customHeight="1">
      <c r="A58" s="23"/>
      <c r="B58" s="23"/>
      <c r="C58" s="25"/>
      <c r="D58" s="24"/>
      <c r="E58" s="1055"/>
      <c r="F58" s="1055"/>
      <c r="G58" s="1055"/>
      <c r="H58" s="1056"/>
      <c r="I58" s="1056"/>
      <c r="J58" s="1056"/>
      <c r="K58" s="1056"/>
      <c r="L58" s="1056"/>
      <c r="M58" s="1056"/>
      <c r="N58" s="1056"/>
      <c r="O58" s="1056"/>
      <c r="P58" s="1056"/>
      <c r="Q58" s="1056"/>
      <c r="R58" s="1056"/>
      <c r="S58" s="1056"/>
      <c r="T58" s="1056"/>
      <c r="U58" s="1056"/>
      <c r="V58" s="1056"/>
      <c r="W58" s="1056"/>
      <c r="X58" s="1056"/>
      <c r="Y58" s="47"/>
      <c r="Z58" s="23"/>
    </row>
    <row r="59" spans="1:26" ht="15" hidden="1" customHeight="1">
      <c r="A59" s="23"/>
      <c r="B59" s="23"/>
      <c r="C59" s="25"/>
      <c r="D59" s="24"/>
      <c r="E59" s="1059" t="s">
        <v>178</v>
      </c>
      <c r="F59" s="1059"/>
      <c r="G59" s="1059"/>
      <c r="H59" s="1059"/>
      <c r="I59" s="1059"/>
      <c r="J59" s="1059"/>
      <c r="K59" s="1059"/>
      <c r="L59" s="1059"/>
      <c r="M59" s="1059"/>
      <c r="N59" s="1059"/>
      <c r="O59" s="1059"/>
      <c r="P59" s="1059"/>
      <c r="Q59" s="1059"/>
      <c r="R59" s="1059"/>
      <c r="S59" s="1059"/>
      <c r="T59" s="1059"/>
      <c r="U59" s="1059"/>
      <c r="V59" s="1059"/>
      <c r="W59" s="1059"/>
      <c r="X59" s="1059"/>
      <c r="Y59" s="47"/>
      <c r="Z59" s="23"/>
    </row>
    <row r="60" spans="1:26" ht="15" hidden="1" customHeight="1">
      <c r="A60" s="23"/>
      <c r="B60" s="23"/>
      <c r="C60" s="25"/>
      <c r="D60" s="24"/>
      <c r="E60" s="1064"/>
      <c r="F60" s="1064"/>
      <c r="G60" s="1064"/>
      <c r="H60" s="1056"/>
      <c r="I60" s="1056"/>
      <c r="J60" s="1056"/>
      <c r="K60" s="1056"/>
      <c r="L60" s="1056"/>
      <c r="M60" s="1056"/>
      <c r="N60" s="1056"/>
      <c r="O60" s="1056"/>
      <c r="P60" s="1056"/>
      <c r="Q60" s="1056"/>
      <c r="R60" s="1056"/>
      <c r="S60" s="1056"/>
      <c r="T60" s="1056"/>
      <c r="U60" s="1056"/>
      <c r="V60" s="1056"/>
      <c r="W60" s="1056"/>
      <c r="X60" s="1056"/>
      <c r="Y60" s="47"/>
      <c r="Z60" s="23"/>
    </row>
    <row r="61" spans="1:26" hidden="1">
      <c r="A61" s="23"/>
      <c r="B61" s="23"/>
      <c r="C61" s="25"/>
      <c r="D61" s="24"/>
      <c r="E61" s="32"/>
      <c r="F61" s="31"/>
      <c r="G61" s="33"/>
      <c r="H61" s="1055"/>
      <c r="I61" s="1055"/>
      <c r="J61" s="1055"/>
      <c r="K61" s="1055"/>
      <c r="L61" s="1055"/>
      <c r="M61" s="1055"/>
      <c r="N61" s="1055"/>
      <c r="O61" s="1055"/>
      <c r="P61" s="1055"/>
      <c r="Q61" s="1055"/>
      <c r="R61" s="1055"/>
      <c r="S61" s="1055"/>
      <c r="T61" s="1055"/>
      <c r="U61" s="1055"/>
      <c r="V61" s="1055"/>
      <c r="W61" s="1055"/>
      <c r="X61" s="1055"/>
      <c r="Y61" s="47"/>
      <c r="Z61" s="23"/>
    </row>
    <row r="62" spans="1:26" ht="27.75" hidden="1" customHeight="1">
      <c r="A62" s="23"/>
      <c r="B62" s="23"/>
      <c r="C62" s="25"/>
      <c r="D62" s="24"/>
      <c r="E62" s="24"/>
      <c r="F62" s="24"/>
      <c r="G62" s="24"/>
      <c r="H62" s="24"/>
      <c r="I62" s="24"/>
      <c r="J62" s="24"/>
      <c r="K62" s="24"/>
      <c r="L62" s="24"/>
      <c r="M62" s="24"/>
      <c r="N62" s="24"/>
      <c r="O62" s="24"/>
      <c r="P62" s="24"/>
      <c r="Q62" s="24"/>
      <c r="R62" s="24"/>
      <c r="S62" s="24"/>
      <c r="T62" s="24"/>
      <c r="U62" s="24"/>
      <c r="V62" s="24"/>
      <c r="W62" s="24"/>
      <c r="X62" s="24"/>
      <c r="Y62" s="47"/>
      <c r="Z62" s="23"/>
    </row>
    <row r="63" spans="1:26" hidden="1">
      <c r="A63" s="23"/>
      <c r="B63" s="23"/>
      <c r="C63" s="25"/>
      <c r="D63" s="24"/>
      <c r="E63" s="24"/>
      <c r="F63" s="24"/>
      <c r="G63" s="24"/>
      <c r="H63" s="24"/>
      <c r="I63" s="24"/>
      <c r="J63" s="24"/>
      <c r="K63" s="24"/>
      <c r="L63" s="24"/>
      <c r="M63" s="24"/>
      <c r="N63" s="24"/>
      <c r="O63" s="24"/>
      <c r="P63" s="24"/>
      <c r="Q63" s="24"/>
      <c r="R63" s="24"/>
      <c r="S63" s="24"/>
      <c r="T63" s="24"/>
      <c r="U63" s="24"/>
      <c r="V63" s="24"/>
      <c r="W63" s="24"/>
      <c r="X63" s="24"/>
      <c r="Y63" s="47"/>
      <c r="Z63" s="23"/>
    </row>
    <row r="64" spans="1:26" hidden="1">
      <c r="A64" s="23"/>
      <c r="B64" s="23"/>
      <c r="C64" s="25"/>
      <c r="D64" s="24"/>
      <c r="E64" s="24"/>
      <c r="F64" s="24"/>
      <c r="G64" s="24"/>
      <c r="H64" s="24"/>
      <c r="I64" s="24"/>
      <c r="J64" s="24"/>
      <c r="K64" s="24"/>
      <c r="L64" s="24"/>
      <c r="M64" s="24"/>
      <c r="N64" s="24"/>
      <c r="O64" s="24"/>
      <c r="P64" s="24"/>
      <c r="Q64" s="24"/>
      <c r="R64" s="24"/>
      <c r="S64" s="24"/>
      <c r="T64" s="24"/>
      <c r="U64" s="24"/>
      <c r="V64" s="24"/>
      <c r="W64" s="24"/>
      <c r="X64" s="24"/>
      <c r="Y64" s="47"/>
      <c r="Z64" s="23"/>
    </row>
    <row r="65" spans="1:26" hidden="1">
      <c r="A65" s="23"/>
      <c r="B65" s="23"/>
      <c r="C65" s="25"/>
      <c r="D65" s="24"/>
      <c r="E65" s="24"/>
      <c r="F65" s="24"/>
      <c r="G65" s="24"/>
      <c r="H65" s="24"/>
      <c r="I65" s="24"/>
      <c r="J65" s="24"/>
      <c r="K65" s="24"/>
      <c r="L65" s="24"/>
      <c r="M65" s="24"/>
      <c r="N65" s="24"/>
      <c r="O65" s="24"/>
      <c r="P65" s="24"/>
      <c r="Q65" s="24"/>
      <c r="R65" s="24"/>
      <c r="S65" s="24"/>
      <c r="T65" s="24"/>
      <c r="U65" s="24"/>
      <c r="V65" s="24"/>
      <c r="W65" s="24"/>
      <c r="X65" s="24"/>
      <c r="Y65" s="47"/>
      <c r="Z65" s="23"/>
    </row>
    <row r="66" spans="1:26" ht="18" hidden="1" customHeight="1">
      <c r="A66" s="23"/>
      <c r="B66" s="23"/>
      <c r="C66" s="25"/>
      <c r="D66" s="24"/>
      <c r="E66" s="24"/>
      <c r="F66" s="24"/>
      <c r="G66" s="24"/>
      <c r="H66" s="24"/>
      <c r="I66" s="24"/>
      <c r="J66" s="24"/>
      <c r="K66" s="24"/>
      <c r="L66" s="24"/>
      <c r="M66" s="24"/>
      <c r="N66" s="24"/>
      <c r="O66" s="24"/>
      <c r="P66" s="24"/>
      <c r="Q66" s="24"/>
      <c r="R66" s="24"/>
      <c r="S66" s="24"/>
      <c r="T66" s="24"/>
      <c r="U66" s="24"/>
      <c r="V66" s="24"/>
      <c r="W66" s="24"/>
      <c r="X66" s="24"/>
      <c r="Y66" s="47"/>
      <c r="Z66" s="23"/>
    </row>
    <row r="67" spans="1:26" hidden="1">
      <c r="A67" s="23"/>
      <c r="B67" s="23"/>
      <c r="C67" s="25"/>
      <c r="D67" s="24"/>
      <c r="E67" s="24"/>
      <c r="F67" s="24"/>
      <c r="G67" s="24"/>
      <c r="H67" s="24"/>
      <c r="I67" s="24"/>
      <c r="J67" s="24"/>
      <c r="K67" s="24"/>
      <c r="L67" s="24"/>
      <c r="M67" s="24"/>
      <c r="N67" s="24"/>
      <c r="O67" s="24"/>
      <c r="P67" s="24"/>
      <c r="Q67" s="24"/>
      <c r="R67" s="24"/>
      <c r="S67" s="24"/>
      <c r="T67" s="24"/>
      <c r="U67" s="24"/>
      <c r="V67" s="24"/>
      <c r="W67" s="24"/>
      <c r="X67" s="24"/>
      <c r="Y67" s="47"/>
      <c r="Z67" s="23"/>
    </row>
    <row r="68" spans="1:26" ht="89.25" hidden="1" customHeight="1">
      <c r="A68" s="23"/>
      <c r="B68" s="23"/>
      <c r="C68" s="25"/>
      <c r="D68" s="25"/>
      <c r="E68" s="25"/>
      <c r="F68" s="25"/>
      <c r="G68" s="25"/>
      <c r="H68" s="25"/>
      <c r="I68" s="25"/>
      <c r="J68" s="25"/>
      <c r="K68" s="25"/>
      <c r="L68" s="25"/>
      <c r="M68" s="25"/>
      <c r="N68" s="25"/>
      <c r="O68" s="25"/>
      <c r="P68" s="25"/>
      <c r="Q68" s="25"/>
      <c r="R68" s="25"/>
      <c r="S68" s="25"/>
      <c r="T68" s="25"/>
      <c r="U68" s="25"/>
      <c r="V68" s="25"/>
      <c r="W68" s="25"/>
      <c r="X68" s="25"/>
      <c r="Y68" s="47"/>
      <c r="Z68" s="23"/>
    </row>
    <row r="69" spans="1:26" hidden="1">
      <c r="A69" s="23"/>
      <c r="B69" s="23"/>
      <c r="C69" s="25"/>
      <c r="D69" s="25"/>
      <c r="E69" s="25"/>
      <c r="F69" s="25"/>
      <c r="G69" s="25"/>
      <c r="H69" s="25"/>
      <c r="I69" s="25"/>
      <c r="J69" s="25"/>
      <c r="K69" s="25"/>
      <c r="L69" s="25"/>
      <c r="M69" s="25"/>
      <c r="N69" s="25"/>
      <c r="O69" s="25"/>
      <c r="P69" s="25"/>
      <c r="Q69" s="25"/>
      <c r="R69" s="25"/>
      <c r="S69" s="25"/>
      <c r="T69" s="25"/>
      <c r="U69" s="25"/>
      <c r="V69" s="25"/>
      <c r="W69" s="25"/>
      <c r="X69" s="25"/>
      <c r="Y69" s="47"/>
      <c r="Z69" s="23"/>
    </row>
    <row r="70" spans="1:26" ht="26.25" hidden="1" customHeight="1">
      <c r="A70" s="23"/>
      <c r="B70" s="23"/>
      <c r="C70" s="25"/>
      <c r="D70" s="24"/>
      <c r="E70" s="1042" t="s">
        <v>1173</v>
      </c>
      <c r="F70" s="1042"/>
      <c r="G70" s="1042"/>
      <c r="H70" s="1042"/>
      <c r="I70" s="1042"/>
      <c r="J70" s="1042"/>
      <c r="K70" s="1042"/>
      <c r="L70" s="1042"/>
      <c r="M70" s="1042"/>
      <c r="N70" s="1042"/>
      <c r="O70" s="1042"/>
      <c r="P70" s="1042"/>
      <c r="Q70" s="1042"/>
      <c r="R70" s="1042"/>
      <c r="S70" s="1042"/>
      <c r="T70" s="1042"/>
      <c r="U70" s="1042"/>
      <c r="V70" s="1042"/>
      <c r="W70" s="1042"/>
      <c r="X70" s="1042"/>
      <c r="Y70" s="1042"/>
      <c r="Z70" s="23"/>
    </row>
    <row r="71" spans="1:26" ht="29.25" hidden="1" customHeight="1">
      <c r="A71" s="23"/>
      <c r="B71" s="23"/>
      <c r="C71" s="25"/>
      <c r="D71" s="24"/>
      <c r="E71" s="1042"/>
      <c r="F71" s="1042"/>
      <c r="G71" s="1042"/>
      <c r="H71" s="1042"/>
      <c r="I71" s="1042"/>
      <c r="J71" s="1042"/>
      <c r="K71" s="1042"/>
      <c r="L71" s="1042"/>
      <c r="M71" s="1042"/>
      <c r="N71" s="1042"/>
      <c r="O71" s="1042"/>
      <c r="P71" s="1042"/>
      <c r="Q71" s="1042"/>
      <c r="R71" s="1042"/>
      <c r="S71" s="1042"/>
      <c r="T71" s="1042"/>
      <c r="U71" s="1042"/>
      <c r="V71" s="1042"/>
      <c r="W71" s="1042"/>
      <c r="X71" s="1042"/>
      <c r="Y71" s="1042"/>
      <c r="Z71" s="23"/>
    </row>
    <row r="72" spans="1:26" ht="27" hidden="1" customHeight="1">
      <c r="A72" s="23"/>
      <c r="B72" s="23"/>
      <c r="C72" s="25"/>
      <c r="D72" s="24"/>
      <c r="E72" s="1042"/>
      <c r="F72" s="1042"/>
      <c r="G72" s="1042"/>
      <c r="H72" s="1042"/>
      <c r="I72" s="1042"/>
      <c r="J72" s="1042"/>
      <c r="K72" s="1042"/>
      <c r="L72" s="1042"/>
      <c r="M72" s="1042"/>
      <c r="N72" s="1042"/>
      <c r="O72" s="1042"/>
      <c r="P72" s="1042"/>
      <c r="Q72" s="1042"/>
      <c r="R72" s="1042"/>
      <c r="S72" s="1042"/>
      <c r="T72" s="1042"/>
      <c r="U72" s="1042"/>
      <c r="V72" s="1042"/>
      <c r="W72" s="1042"/>
      <c r="X72" s="1042"/>
      <c r="Y72" s="1042"/>
      <c r="Z72" s="23"/>
    </row>
    <row r="73" spans="1:26" ht="36" hidden="1" customHeight="1">
      <c r="A73" s="23"/>
      <c r="B73" s="23"/>
      <c r="C73" s="25"/>
      <c r="D73" s="24"/>
      <c r="E73" s="1042"/>
      <c r="F73" s="1042"/>
      <c r="G73" s="1042"/>
      <c r="H73" s="1042"/>
      <c r="I73" s="1042"/>
      <c r="J73" s="1042"/>
      <c r="K73" s="1042"/>
      <c r="L73" s="1042"/>
      <c r="M73" s="1042"/>
      <c r="N73" s="1042"/>
      <c r="O73" s="1042"/>
      <c r="P73" s="1042"/>
      <c r="Q73" s="1042"/>
      <c r="R73" s="1042"/>
      <c r="S73" s="1042"/>
      <c r="T73" s="1042"/>
      <c r="U73" s="1042"/>
      <c r="V73" s="1042"/>
      <c r="W73" s="1042"/>
      <c r="X73" s="1042"/>
      <c r="Y73" s="1042"/>
      <c r="Z73" s="23"/>
    </row>
    <row r="74" spans="1:26" ht="15" hidden="1" customHeight="1">
      <c r="A74" s="23"/>
      <c r="B74" s="23"/>
      <c r="C74" s="25"/>
      <c r="D74" s="24"/>
      <c r="E74" s="1042"/>
      <c r="F74" s="1042"/>
      <c r="G74" s="1042"/>
      <c r="H74" s="1042"/>
      <c r="I74" s="1042"/>
      <c r="J74" s="1042"/>
      <c r="K74" s="1042"/>
      <c r="L74" s="1042"/>
      <c r="M74" s="1042"/>
      <c r="N74" s="1042"/>
      <c r="O74" s="1042"/>
      <c r="P74" s="1042"/>
      <c r="Q74" s="1042"/>
      <c r="R74" s="1042"/>
      <c r="S74" s="1042"/>
      <c r="T74" s="1042"/>
      <c r="U74" s="1042"/>
      <c r="V74" s="1042"/>
      <c r="W74" s="1042"/>
      <c r="X74" s="1042"/>
      <c r="Y74" s="1042"/>
      <c r="Z74" s="23"/>
    </row>
    <row r="75" spans="1:26" ht="131.25" hidden="1" customHeight="1">
      <c r="A75" s="23"/>
      <c r="B75" s="23"/>
      <c r="C75" s="25"/>
      <c r="D75" s="24"/>
      <c r="E75" s="1042"/>
      <c r="F75" s="1042"/>
      <c r="G75" s="1042"/>
      <c r="H75" s="1042"/>
      <c r="I75" s="1042"/>
      <c r="J75" s="1042"/>
      <c r="K75" s="1042"/>
      <c r="L75" s="1042"/>
      <c r="M75" s="1042"/>
      <c r="N75" s="1042"/>
      <c r="O75" s="1042"/>
      <c r="P75" s="1042"/>
      <c r="Q75" s="1042"/>
      <c r="R75" s="1042"/>
      <c r="S75" s="1042"/>
      <c r="T75" s="1042"/>
      <c r="U75" s="1042"/>
      <c r="V75" s="1042"/>
      <c r="W75" s="1042"/>
      <c r="X75" s="1042"/>
      <c r="Y75" s="1042"/>
      <c r="Z75" s="23"/>
    </row>
    <row r="76" spans="1:26" ht="15" hidden="1" customHeight="1">
      <c r="A76" s="23"/>
      <c r="B76" s="23"/>
      <c r="C76" s="25"/>
      <c r="D76" s="24"/>
      <c r="E76" s="1055"/>
      <c r="F76" s="1055"/>
      <c r="G76" s="1055"/>
      <c r="H76" s="1065"/>
      <c r="I76" s="1065"/>
      <c r="J76" s="1065"/>
      <c r="K76" s="1065"/>
      <c r="L76" s="1065"/>
      <c r="M76" s="1065"/>
      <c r="N76" s="1065"/>
      <c r="O76" s="1065"/>
      <c r="P76" s="1065"/>
      <c r="Q76" s="1065"/>
      <c r="R76" s="1065"/>
      <c r="S76" s="1065"/>
      <c r="T76" s="1065"/>
      <c r="U76" s="1065"/>
      <c r="V76" s="1065"/>
      <c r="W76" s="1065"/>
      <c r="X76" s="1065"/>
      <c r="Y76" s="47"/>
      <c r="Z76" s="23"/>
    </row>
    <row r="77" spans="1:26" ht="15" hidden="1" customHeight="1">
      <c r="A77" s="23"/>
      <c r="B77" s="23"/>
      <c r="C77" s="25"/>
      <c r="D77" s="24"/>
      <c r="E77" s="1062"/>
      <c r="F77" s="1062"/>
      <c r="G77" s="1062"/>
      <c r="H77" s="1062"/>
      <c r="I77" s="1062"/>
      <c r="J77" s="1062"/>
      <c r="K77" s="1062"/>
      <c r="L77" s="1062"/>
      <c r="M77" s="1062"/>
      <c r="N77" s="1062"/>
      <c r="O77" s="1062"/>
      <c r="P77" s="1062"/>
      <c r="Q77" s="1062"/>
      <c r="R77" s="1062"/>
      <c r="S77" s="1062"/>
      <c r="T77" s="1062"/>
      <c r="U77" s="1062"/>
      <c r="V77" s="1062"/>
      <c r="W77" s="46"/>
      <c r="X77" s="318"/>
      <c r="Y77" s="47"/>
      <c r="Z77" s="23"/>
    </row>
    <row r="78" spans="1:26" ht="15" hidden="1" customHeight="1">
      <c r="A78" s="23"/>
      <c r="B78" s="23"/>
      <c r="C78" s="25"/>
      <c r="D78" s="24"/>
      <c r="E78" s="1063"/>
      <c r="F78" s="1063"/>
      <c r="G78" s="1063"/>
      <c r="H78" s="1063"/>
      <c r="I78" s="1063"/>
      <c r="J78" s="1063"/>
      <c r="K78" s="1063"/>
      <c r="L78" s="1058"/>
      <c r="M78" s="1058"/>
      <c r="N78" s="1058"/>
      <c r="O78" s="1058"/>
      <c r="P78" s="1058"/>
      <c r="Q78" s="1058"/>
      <c r="R78" s="1058"/>
      <c r="S78" s="1058"/>
      <c r="T78" s="1058"/>
      <c r="U78" s="1058"/>
      <c r="V78" s="1058"/>
      <c r="W78" s="1058"/>
      <c r="X78" s="43"/>
      <c r="Y78" s="47"/>
      <c r="Z78" s="23"/>
    </row>
    <row r="79" spans="1:26" ht="15" hidden="1" customHeight="1">
      <c r="A79" s="23"/>
      <c r="B79" s="23"/>
      <c r="C79" s="25"/>
      <c r="D79" s="24"/>
      <c r="E79" s="1063"/>
      <c r="F79" s="1063"/>
      <c r="G79" s="1063"/>
      <c r="H79" s="1063"/>
      <c r="I79" s="1063"/>
      <c r="J79" s="1063"/>
      <c r="K79" s="1063"/>
      <c r="L79" s="1058"/>
      <c r="M79" s="1058"/>
      <c r="N79" s="1058"/>
      <c r="O79" s="1058"/>
      <c r="P79" s="1058"/>
      <c r="Q79" s="1058"/>
      <c r="R79" s="1058"/>
      <c r="S79" s="1058"/>
      <c r="T79" s="1058"/>
      <c r="U79" s="1058"/>
      <c r="V79" s="1058"/>
      <c r="W79" s="1058"/>
      <c r="X79" s="44"/>
      <c r="Y79" s="47"/>
      <c r="Z79" s="23"/>
    </row>
    <row r="80" spans="1:26" ht="15" hidden="1" customHeight="1">
      <c r="A80" s="23"/>
      <c r="B80" s="23"/>
      <c r="C80" s="25"/>
      <c r="D80" s="24"/>
      <c r="X80" s="44"/>
      <c r="Y80" s="47"/>
      <c r="Z80" s="23"/>
    </row>
    <row r="81" spans="1:27" ht="15" hidden="1" customHeight="1">
      <c r="A81" s="23"/>
      <c r="B81" s="23"/>
      <c r="C81" s="25"/>
      <c r="D81" s="24"/>
      <c r="E81" s="1058"/>
      <c r="F81" s="1058"/>
      <c r="G81" s="1058"/>
      <c r="H81" s="1058"/>
      <c r="I81" s="1058"/>
      <c r="J81" s="1058"/>
      <c r="K81" s="1058"/>
      <c r="L81" s="1058"/>
      <c r="M81" s="1058"/>
      <c r="N81" s="1058"/>
      <c r="O81" s="1058"/>
      <c r="P81" s="1058"/>
      <c r="Q81" s="1058"/>
      <c r="R81" s="1058"/>
      <c r="S81" s="1058"/>
      <c r="T81" s="1058"/>
      <c r="U81" s="1058"/>
      <c r="V81" s="1058"/>
      <c r="W81" s="1058"/>
      <c r="X81" s="24"/>
      <c r="Y81" s="47"/>
      <c r="Z81" s="23"/>
    </row>
    <row r="82" spans="1:27" ht="15" hidden="1" customHeight="1">
      <c r="A82" s="23"/>
      <c r="B82" s="23"/>
      <c r="C82" s="25"/>
      <c r="D82" s="24"/>
      <c r="E82" s="24"/>
      <c r="F82" s="24"/>
      <c r="G82" s="24"/>
      <c r="H82" s="24"/>
      <c r="I82" s="24"/>
      <c r="J82" s="24"/>
      <c r="K82" s="24"/>
      <c r="L82" s="24"/>
      <c r="M82" s="24"/>
      <c r="N82" s="24"/>
      <c r="O82" s="24"/>
      <c r="P82" s="24"/>
      <c r="Q82" s="24"/>
      <c r="R82" s="24"/>
      <c r="S82" s="24"/>
      <c r="T82" s="24"/>
      <c r="U82" s="24"/>
      <c r="V82" s="24"/>
      <c r="W82" s="24"/>
      <c r="X82" s="24"/>
      <c r="Y82" s="47"/>
      <c r="Z82" s="23"/>
    </row>
    <row r="83" spans="1:27" ht="15" hidden="1" customHeight="1">
      <c r="A83" s="23"/>
      <c r="B83" s="23"/>
      <c r="C83" s="25"/>
      <c r="D83" s="24"/>
      <c r="E83" s="24"/>
      <c r="F83" s="24"/>
      <c r="G83" s="24"/>
      <c r="H83" s="24"/>
      <c r="I83" s="24"/>
      <c r="J83" s="24"/>
      <c r="K83" s="24"/>
      <c r="L83" s="24"/>
      <c r="M83" s="24"/>
      <c r="N83" s="24"/>
      <c r="O83" s="24"/>
      <c r="P83" s="24"/>
      <c r="Q83" s="24"/>
      <c r="R83" s="24"/>
      <c r="S83" s="24"/>
      <c r="T83" s="24"/>
      <c r="U83" s="24"/>
      <c r="V83" s="24"/>
      <c r="W83" s="24"/>
      <c r="X83" s="24"/>
      <c r="Y83" s="47"/>
      <c r="Z83" s="23"/>
    </row>
    <row r="84" spans="1:27" ht="23.4" hidden="1" customHeight="1">
      <c r="A84" s="23"/>
      <c r="B84" s="23"/>
      <c r="C84" s="25"/>
      <c r="D84" s="24"/>
      <c r="E84" s="24"/>
      <c r="F84" s="24"/>
      <c r="G84" s="24"/>
      <c r="H84" s="24"/>
      <c r="I84" s="24"/>
      <c r="J84" s="24"/>
      <c r="K84" s="24"/>
      <c r="L84" s="24"/>
      <c r="M84" s="24"/>
      <c r="N84" s="24"/>
      <c r="O84" s="24"/>
      <c r="P84" s="24"/>
      <c r="Q84" s="24"/>
      <c r="R84" s="24"/>
      <c r="S84" s="24"/>
      <c r="T84" s="24"/>
      <c r="U84" s="24"/>
      <c r="V84" s="24"/>
      <c r="W84" s="24"/>
      <c r="X84" s="24"/>
      <c r="Y84" s="47"/>
      <c r="Z84" s="23"/>
    </row>
    <row r="85" spans="1:27" ht="15" hidden="1" customHeight="1">
      <c r="A85" s="23"/>
      <c r="B85" s="23"/>
      <c r="C85" s="25"/>
      <c r="D85" s="24"/>
      <c r="E85" s="24"/>
      <c r="F85" s="24"/>
      <c r="G85" s="24"/>
      <c r="H85" s="24"/>
      <c r="I85" s="24"/>
      <c r="J85" s="24"/>
      <c r="K85" s="24"/>
      <c r="L85" s="24"/>
      <c r="M85" s="24"/>
      <c r="N85" s="24"/>
      <c r="O85" s="24"/>
      <c r="P85" s="24"/>
      <c r="Q85" s="24"/>
      <c r="R85" s="24"/>
      <c r="S85" s="24"/>
      <c r="T85" s="24"/>
      <c r="U85" s="24"/>
      <c r="V85" s="24"/>
      <c r="W85" s="24"/>
      <c r="X85" s="24"/>
      <c r="Y85" s="47"/>
      <c r="Z85" s="23"/>
    </row>
    <row r="86" spans="1:27" ht="15" hidden="1" customHeight="1">
      <c r="A86" s="23"/>
      <c r="B86" s="23"/>
      <c r="C86" s="25"/>
      <c r="D86" s="24"/>
      <c r="E86" s="24"/>
      <c r="F86" s="24"/>
      <c r="G86" s="24"/>
      <c r="H86" s="24"/>
      <c r="I86" s="24"/>
      <c r="J86" s="24"/>
      <c r="K86" s="24"/>
      <c r="L86" s="24"/>
      <c r="M86" s="24"/>
      <c r="N86" s="24"/>
      <c r="O86" s="24"/>
      <c r="P86" s="24"/>
      <c r="Q86" s="24"/>
      <c r="R86" s="24"/>
      <c r="S86" s="24"/>
      <c r="T86" s="24"/>
      <c r="U86" s="24"/>
      <c r="V86" s="24"/>
      <c r="W86" s="24"/>
      <c r="X86" s="24"/>
      <c r="Y86" s="47"/>
      <c r="Z86" s="23"/>
    </row>
    <row r="87" spans="1:27" ht="15" hidden="1" customHeight="1">
      <c r="A87" s="23"/>
      <c r="B87" s="23"/>
      <c r="C87" s="25"/>
      <c r="D87" s="24"/>
      <c r="E87" s="24"/>
      <c r="F87" s="24"/>
      <c r="G87" s="24"/>
      <c r="H87" s="24"/>
      <c r="I87" s="24"/>
      <c r="J87" s="24"/>
      <c r="K87" s="24"/>
      <c r="L87" s="24"/>
      <c r="M87" s="24"/>
      <c r="N87" s="24"/>
      <c r="O87" s="24"/>
      <c r="P87" s="24"/>
      <c r="Q87" s="24"/>
      <c r="R87" s="24"/>
      <c r="S87" s="24"/>
      <c r="T87" s="24"/>
      <c r="U87" s="24"/>
      <c r="V87" s="24"/>
      <c r="W87" s="24"/>
      <c r="X87" s="24"/>
      <c r="Y87" s="47"/>
      <c r="Z87" s="23"/>
    </row>
    <row r="88" spans="1:27" ht="15" hidden="1" customHeight="1">
      <c r="A88" s="23"/>
      <c r="B88" s="23"/>
      <c r="C88" s="25"/>
      <c r="D88" s="24"/>
      <c r="E88" s="24"/>
      <c r="F88" s="24"/>
      <c r="G88" s="24"/>
      <c r="H88" s="24"/>
      <c r="I88" s="24"/>
      <c r="J88" s="24"/>
      <c r="K88" s="24"/>
      <c r="L88" s="24"/>
      <c r="M88" s="24"/>
      <c r="N88" s="24"/>
      <c r="O88" s="24"/>
      <c r="P88" s="24"/>
      <c r="Q88" s="24"/>
      <c r="R88" s="24"/>
      <c r="S88" s="24"/>
      <c r="T88" s="24"/>
      <c r="U88" s="24"/>
      <c r="V88" s="24"/>
      <c r="W88" s="24"/>
      <c r="X88" s="24"/>
      <c r="Y88" s="47"/>
      <c r="Z88" s="23"/>
    </row>
    <row r="89" spans="1:27" ht="15" hidden="1" customHeight="1">
      <c r="A89" s="23"/>
      <c r="B89" s="23"/>
      <c r="C89" s="25"/>
      <c r="D89" s="24"/>
      <c r="E89" s="24"/>
      <c r="F89" s="24"/>
      <c r="G89" s="24"/>
      <c r="H89" s="24"/>
      <c r="I89" s="24"/>
      <c r="J89" s="24"/>
      <c r="K89" s="24"/>
      <c r="L89" s="24"/>
      <c r="M89" s="24"/>
      <c r="N89" s="24"/>
      <c r="O89" s="24"/>
      <c r="P89" s="24"/>
      <c r="Q89" s="24"/>
      <c r="R89" s="24"/>
      <c r="S89" s="24"/>
      <c r="T89" s="24"/>
      <c r="U89" s="24"/>
      <c r="V89" s="24"/>
      <c r="W89" s="24"/>
      <c r="X89" s="24"/>
      <c r="Y89" s="47"/>
      <c r="Z89" s="23"/>
    </row>
    <row r="90" spans="1:27" ht="15" hidden="1" customHeight="1">
      <c r="A90" s="23"/>
      <c r="B90" s="23"/>
      <c r="C90" s="25"/>
      <c r="D90" s="24"/>
      <c r="E90" s="24"/>
      <c r="F90" s="24"/>
      <c r="G90" s="24"/>
      <c r="H90" s="24"/>
      <c r="I90" s="24"/>
      <c r="J90" s="24"/>
      <c r="K90" s="24"/>
      <c r="L90" s="24"/>
      <c r="M90" s="24"/>
      <c r="N90" s="24"/>
      <c r="O90" s="24"/>
      <c r="P90" s="24"/>
      <c r="Q90" s="24"/>
      <c r="R90" s="24"/>
      <c r="S90" s="24"/>
      <c r="T90" s="24"/>
      <c r="U90" s="24"/>
      <c r="V90" s="24"/>
      <c r="W90" s="24"/>
      <c r="X90" s="24"/>
      <c r="Y90" s="47"/>
      <c r="Z90" s="23"/>
    </row>
    <row r="91" spans="1:27" ht="27" hidden="1" customHeight="1">
      <c r="A91" s="23"/>
      <c r="B91" s="23"/>
      <c r="C91" s="25"/>
      <c r="D91" s="25"/>
      <c r="E91" s="25"/>
      <c r="F91" s="25"/>
      <c r="G91" s="25"/>
      <c r="H91" s="25"/>
      <c r="I91" s="25"/>
      <c r="J91" s="25"/>
      <c r="K91" s="25"/>
      <c r="L91" s="25"/>
      <c r="M91" s="25"/>
      <c r="N91" s="25"/>
      <c r="O91" s="25"/>
      <c r="P91" s="25"/>
      <c r="Q91" s="25"/>
      <c r="R91" s="25"/>
      <c r="S91" s="25"/>
      <c r="T91" s="25"/>
      <c r="U91" s="25"/>
      <c r="V91" s="25"/>
      <c r="W91" s="25"/>
      <c r="X91" s="25"/>
      <c r="Y91" s="47"/>
      <c r="Z91" s="23"/>
    </row>
    <row r="92" spans="1:27" ht="15" hidden="1" customHeight="1">
      <c r="A92" s="23"/>
      <c r="B92" s="23"/>
      <c r="C92" s="25"/>
      <c r="D92" s="25"/>
      <c r="E92" s="25"/>
      <c r="F92" s="25"/>
      <c r="G92" s="25"/>
      <c r="H92" s="25"/>
      <c r="I92" s="25"/>
      <c r="J92" s="25"/>
      <c r="K92" s="25"/>
      <c r="L92" s="25"/>
      <c r="M92" s="25"/>
      <c r="N92" s="25"/>
      <c r="O92" s="25"/>
      <c r="P92" s="25"/>
      <c r="Q92" s="25"/>
      <c r="R92" s="25"/>
      <c r="S92" s="25"/>
      <c r="T92" s="25"/>
      <c r="U92" s="25"/>
      <c r="V92" s="25"/>
      <c r="W92" s="25"/>
      <c r="X92" s="25"/>
      <c r="Y92" s="47"/>
      <c r="Z92" s="23"/>
    </row>
    <row r="93" spans="1:27" ht="25.5" hidden="1" customHeight="1">
      <c r="A93" s="23"/>
      <c r="B93" s="23"/>
      <c r="C93" s="25"/>
      <c r="D93" s="24"/>
      <c r="E93" s="1061" t="s">
        <v>167</v>
      </c>
      <c r="F93" s="1061"/>
      <c r="G93" s="1061"/>
      <c r="H93" s="1061"/>
      <c r="I93" s="1061"/>
      <c r="J93" s="1061"/>
      <c r="K93" s="1061"/>
      <c r="L93" s="1061"/>
      <c r="M93" s="1061"/>
      <c r="N93" s="1061"/>
      <c r="O93" s="1061"/>
      <c r="P93" s="1061"/>
      <c r="Q93" s="1061"/>
      <c r="R93" s="1061"/>
      <c r="S93" s="1061"/>
      <c r="T93" s="1061"/>
      <c r="U93" s="1061"/>
      <c r="V93" s="1061"/>
      <c r="W93" s="1061"/>
      <c r="X93" s="1061"/>
      <c r="Y93" s="47"/>
      <c r="Z93" s="23"/>
    </row>
    <row r="94" spans="1:27" ht="15" hidden="1" customHeight="1">
      <c r="A94" s="23"/>
      <c r="B94" s="23"/>
      <c r="C94" s="25"/>
      <c r="D94" s="24"/>
      <c r="E94" s="24"/>
      <c r="F94" s="24"/>
      <c r="G94" s="24"/>
      <c r="H94" s="34"/>
      <c r="I94" s="34"/>
      <c r="J94" s="34"/>
      <c r="K94" s="34"/>
      <c r="L94" s="34"/>
      <c r="M94" s="34"/>
      <c r="N94" s="34"/>
      <c r="O94" s="35"/>
      <c r="P94" s="35"/>
      <c r="Q94" s="35"/>
      <c r="R94" s="35"/>
      <c r="S94" s="35"/>
      <c r="T94" s="35"/>
      <c r="U94" s="24"/>
      <c r="V94" s="24"/>
      <c r="W94" s="24"/>
      <c r="X94" s="24"/>
      <c r="Y94" s="47"/>
      <c r="Z94" s="23"/>
    </row>
    <row r="95" spans="1:27" ht="15" hidden="1" customHeight="1">
      <c r="A95" s="23"/>
      <c r="B95" s="23"/>
      <c r="C95" s="25"/>
      <c r="D95" s="24"/>
      <c r="E95" s="36"/>
      <c r="F95" s="1060" t="s">
        <v>168</v>
      </c>
      <c r="G95" s="1060"/>
      <c r="H95" s="1060"/>
      <c r="I95" s="1060"/>
      <c r="J95" s="1060"/>
      <c r="K95" s="1060"/>
      <c r="L95" s="1060"/>
      <c r="M95" s="1060"/>
      <c r="N95" s="1060"/>
      <c r="O95" s="1060"/>
      <c r="P95" s="1060"/>
      <c r="Q95" s="1060"/>
      <c r="R95" s="1060"/>
      <c r="S95" s="1060"/>
      <c r="T95" s="35"/>
      <c r="U95" s="24"/>
      <c r="V95" s="24"/>
      <c r="W95" s="24"/>
      <c r="X95" s="24"/>
      <c r="Y95" s="47"/>
      <c r="Z95" s="23"/>
      <c r="AA95" s="17" t="s">
        <v>169</v>
      </c>
    </row>
    <row r="96" spans="1:27" ht="15" hidden="1" customHeight="1">
      <c r="A96" s="23"/>
      <c r="B96" s="23"/>
      <c r="C96" s="25"/>
      <c r="D96" s="24"/>
      <c r="E96" s="24"/>
      <c r="F96" s="24"/>
      <c r="G96" s="24"/>
      <c r="H96" s="34"/>
      <c r="I96" s="34"/>
      <c r="J96" s="34"/>
      <c r="K96" s="34"/>
      <c r="L96" s="34"/>
      <c r="M96" s="34"/>
      <c r="N96" s="34"/>
      <c r="O96" s="35"/>
      <c r="P96" s="35"/>
      <c r="Q96" s="35"/>
      <c r="R96" s="35"/>
      <c r="S96" s="35"/>
      <c r="T96" s="35"/>
      <c r="U96" s="24"/>
      <c r="V96" s="24"/>
      <c r="W96" s="24"/>
      <c r="X96" s="24"/>
      <c r="Y96" s="47"/>
      <c r="Z96" s="23"/>
    </row>
    <row r="97" spans="1:26" ht="15" hidden="1" customHeight="1">
      <c r="A97" s="23"/>
      <c r="B97" s="23"/>
      <c r="C97" s="25"/>
      <c r="D97" s="24"/>
      <c r="E97" s="24"/>
      <c r="F97" s="1060" t="s">
        <v>170</v>
      </c>
      <c r="G97" s="1060"/>
      <c r="H97" s="1060"/>
      <c r="I97" s="1060"/>
      <c r="J97" s="1060"/>
      <c r="K97" s="1060"/>
      <c r="L97" s="1060"/>
      <c r="M97" s="1060"/>
      <c r="N97" s="1060"/>
      <c r="O97" s="1060"/>
      <c r="P97" s="1060"/>
      <c r="Q97" s="1060"/>
      <c r="R97" s="1060"/>
      <c r="S97" s="1060"/>
      <c r="T97" s="1060"/>
      <c r="U97" s="1060"/>
      <c r="V97" s="1060"/>
      <c r="W97" s="1060"/>
      <c r="X97" s="1060"/>
      <c r="Y97" s="47"/>
      <c r="Z97" s="23"/>
    </row>
    <row r="98" spans="1:26" ht="15" hidden="1" customHeight="1">
      <c r="A98" s="23"/>
      <c r="B98" s="23"/>
      <c r="C98" s="25"/>
      <c r="D98" s="24"/>
      <c r="E98" s="24"/>
      <c r="F98" s="24"/>
      <c r="G98" s="24"/>
      <c r="H98" s="24"/>
      <c r="I98" s="24"/>
      <c r="J98" s="24"/>
      <c r="K98" s="24"/>
      <c r="L98" s="24"/>
      <c r="M98" s="24"/>
      <c r="N98" s="24"/>
      <c r="O98" s="24"/>
      <c r="P98" s="24"/>
      <c r="Q98" s="24"/>
      <c r="R98" s="24"/>
      <c r="S98" s="24"/>
      <c r="T98" s="24"/>
      <c r="U98" s="24"/>
      <c r="V98" s="24"/>
      <c r="W98" s="24"/>
      <c r="X98" s="24"/>
      <c r="Y98" s="47"/>
      <c r="Z98" s="23"/>
    </row>
    <row r="99" spans="1:26" ht="15" hidden="1" customHeight="1">
      <c r="A99" s="23"/>
      <c r="B99" s="23"/>
      <c r="C99" s="25"/>
      <c r="D99" s="24"/>
      <c r="E99" s="24"/>
      <c r="F99" s="24"/>
      <c r="G99" s="24"/>
      <c r="H99" s="24"/>
      <c r="I99" s="24"/>
      <c r="J99" s="24"/>
      <c r="K99" s="24"/>
      <c r="L99" s="24"/>
      <c r="M99" s="24"/>
      <c r="N99" s="24"/>
      <c r="O99" s="24"/>
      <c r="P99" s="24"/>
      <c r="Q99" s="24"/>
      <c r="R99" s="24"/>
      <c r="S99" s="24"/>
      <c r="T99" s="24"/>
      <c r="U99" s="24"/>
      <c r="V99" s="24"/>
      <c r="W99" s="24"/>
      <c r="X99" s="24"/>
      <c r="Y99" s="47"/>
      <c r="Z99" s="23"/>
    </row>
    <row r="100" spans="1:26" ht="15" hidden="1" customHeight="1">
      <c r="A100" s="23"/>
      <c r="B100" s="23"/>
      <c r="C100" s="25"/>
      <c r="D100" s="24"/>
      <c r="E100" s="24"/>
      <c r="F100" s="24"/>
      <c r="G100" s="24"/>
      <c r="H100" s="24"/>
      <c r="I100" s="24"/>
      <c r="J100" s="24"/>
      <c r="K100" s="24"/>
      <c r="L100" s="24"/>
      <c r="M100" s="24"/>
      <c r="N100" s="24"/>
      <c r="O100" s="24"/>
      <c r="P100" s="24"/>
      <c r="Q100" s="24"/>
      <c r="R100" s="24"/>
      <c r="S100" s="24"/>
      <c r="T100" s="24"/>
      <c r="U100" s="24"/>
      <c r="V100" s="24"/>
      <c r="W100" s="24"/>
      <c r="X100" s="24"/>
      <c r="Y100" s="47"/>
      <c r="Z100" s="23"/>
    </row>
    <row r="101" spans="1:26" ht="15" hidden="1" customHeight="1">
      <c r="A101" s="23"/>
      <c r="B101" s="23"/>
      <c r="C101" s="25"/>
      <c r="D101" s="24"/>
      <c r="E101" s="24"/>
      <c r="F101" s="24"/>
      <c r="G101" s="24"/>
      <c r="H101" s="24"/>
      <c r="I101" s="24"/>
      <c r="J101" s="24"/>
      <c r="K101" s="24"/>
      <c r="L101" s="24"/>
      <c r="M101" s="24"/>
      <c r="N101" s="24"/>
      <c r="O101" s="24"/>
      <c r="P101" s="24"/>
      <c r="Q101" s="24"/>
      <c r="R101" s="24"/>
      <c r="S101" s="24"/>
      <c r="T101" s="24"/>
      <c r="U101" s="24"/>
      <c r="V101" s="24"/>
      <c r="W101" s="24"/>
      <c r="X101" s="24"/>
      <c r="Y101" s="47"/>
      <c r="Z101" s="23"/>
    </row>
    <row r="102" spans="1:26" ht="15" hidden="1" customHeight="1">
      <c r="A102" s="23"/>
      <c r="B102" s="23"/>
      <c r="C102" s="25"/>
      <c r="D102" s="24"/>
      <c r="E102" s="24"/>
      <c r="F102" s="24"/>
      <c r="G102" s="24"/>
      <c r="H102" s="24"/>
      <c r="I102" s="24"/>
      <c r="J102" s="24"/>
      <c r="K102" s="24"/>
      <c r="L102" s="24"/>
      <c r="M102" s="24"/>
      <c r="N102" s="24"/>
      <c r="O102" s="24"/>
      <c r="P102" s="24"/>
      <c r="Q102" s="24"/>
      <c r="R102" s="24"/>
      <c r="S102" s="24"/>
      <c r="T102" s="24"/>
      <c r="U102" s="24"/>
      <c r="V102" s="24"/>
      <c r="W102" s="24"/>
      <c r="X102" s="24"/>
      <c r="Y102" s="47"/>
      <c r="Z102" s="23"/>
    </row>
    <row r="103" spans="1:26" ht="15" hidden="1" customHeight="1">
      <c r="A103" s="23"/>
      <c r="B103" s="23"/>
      <c r="C103" s="25"/>
      <c r="D103" s="24"/>
      <c r="E103" s="24"/>
      <c r="F103" s="24"/>
      <c r="G103" s="24"/>
      <c r="H103" s="24"/>
      <c r="I103" s="24"/>
      <c r="J103" s="24"/>
      <c r="K103" s="24"/>
      <c r="L103" s="24"/>
      <c r="M103" s="24"/>
      <c r="N103" s="24"/>
      <c r="O103" s="24"/>
      <c r="P103" s="24"/>
      <c r="Q103" s="24"/>
      <c r="R103" s="24"/>
      <c r="S103" s="24"/>
      <c r="T103" s="24"/>
      <c r="U103" s="24"/>
      <c r="V103" s="24"/>
      <c r="W103" s="24"/>
      <c r="X103" s="24"/>
      <c r="Y103" s="47"/>
      <c r="Z103" s="23"/>
    </row>
    <row r="104" spans="1:26" ht="15" hidden="1" customHeight="1">
      <c r="A104" s="23"/>
      <c r="B104" s="23"/>
      <c r="C104" s="25"/>
      <c r="D104" s="24"/>
      <c r="E104" s="24"/>
      <c r="F104" s="24"/>
      <c r="G104" s="24"/>
      <c r="H104" s="24"/>
      <c r="I104" s="24"/>
      <c r="J104" s="24"/>
      <c r="K104" s="24"/>
      <c r="L104" s="24"/>
      <c r="M104" s="24"/>
      <c r="N104" s="24"/>
      <c r="O104" s="24"/>
      <c r="P104" s="24"/>
      <c r="Q104" s="24"/>
      <c r="R104" s="24"/>
      <c r="S104" s="24"/>
      <c r="T104" s="24"/>
      <c r="U104" s="24"/>
      <c r="V104" s="24"/>
      <c r="W104" s="24"/>
      <c r="X104" s="24"/>
      <c r="Y104" s="47"/>
      <c r="Z104" s="23"/>
    </row>
    <row r="105" spans="1:26" ht="15" hidden="1" customHeight="1">
      <c r="A105" s="23"/>
      <c r="B105" s="23"/>
      <c r="C105" s="25"/>
      <c r="D105" s="24"/>
      <c r="E105" s="24"/>
      <c r="F105" s="24"/>
      <c r="G105" s="24"/>
      <c r="H105" s="24"/>
      <c r="I105" s="24"/>
      <c r="J105" s="24"/>
      <c r="K105" s="24"/>
      <c r="L105" s="24"/>
      <c r="M105" s="24"/>
      <c r="N105" s="24"/>
      <c r="O105" s="24"/>
      <c r="P105" s="24"/>
      <c r="Q105" s="24"/>
      <c r="R105" s="24"/>
      <c r="S105" s="24"/>
      <c r="T105" s="24"/>
      <c r="U105" s="24"/>
      <c r="V105" s="24"/>
      <c r="W105" s="24"/>
      <c r="X105" s="24"/>
      <c r="Y105" s="47"/>
      <c r="Z105" s="23"/>
    </row>
    <row r="106" spans="1:26" ht="36.6" hidden="1" customHeight="1">
      <c r="A106" s="23"/>
      <c r="B106" s="23"/>
      <c r="C106" s="25"/>
      <c r="D106" s="24"/>
      <c r="E106" s="24"/>
      <c r="F106" s="24"/>
      <c r="G106" s="24"/>
      <c r="H106" s="24"/>
      <c r="I106" s="24"/>
      <c r="J106" s="24"/>
      <c r="K106" s="24"/>
      <c r="L106" s="24"/>
      <c r="M106" s="24"/>
      <c r="N106" s="24"/>
      <c r="O106" s="24"/>
      <c r="P106" s="24"/>
      <c r="Q106" s="24"/>
      <c r="R106" s="24"/>
      <c r="S106" s="24"/>
      <c r="T106" s="24"/>
      <c r="U106" s="24"/>
      <c r="V106" s="24"/>
      <c r="W106" s="24"/>
      <c r="X106" s="24"/>
      <c r="Y106" s="47"/>
      <c r="Z106" s="23"/>
    </row>
    <row r="107" spans="1:26" ht="31.5" hidden="1" customHeight="1">
      <c r="A107" s="23"/>
      <c r="B107" s="23"/>
      <c r="C107" s="25"/>
      <c r="D107" s="24"/>
      <c r="E107" s="24"/>
      <c r="F107" s="24"/>
      <c r="G107" s="24"/>
      <c r="H107" s="24"/>
      <c r="I107" s="24"/>
      <c r="J107" s="24"/>
      <c r="K107" s="24"/>
      <c r="L107" s="24"/>
      <c r="M107" s="24"/>
      <c r="N107" s="24"/>
      <c r="O107" s="24"/>
      <c r="P107" s="24"/>
      <c r="Q107" s="24"/>
      <c r="R107" s="24"/>
      <c r="S107" s="24"/>
      <c r="T107" s="24"/>
      <c r="U107" s="24"/>
      <c r="V107" s="24"/>
      <c r="W107" s="24"/>
      <c r="X107" s="24"/>
      <c r="Y107" s="47"/>
      <c r="Z107" s="23"/>
    </row>
    <row r="108" spans="1:26" ht="17.25" customHeight="1">
      <c r="A108" s="23"/>
      <c r="B108" s="23"/>
      <c r="C108" s="25"/>
      <c r="D108" s="25"/>
      <c r="E108" s="25"/>
      <c r="F108" s="25"/>
      <c r="G108" s="25"/>
      <c r="H108" s="25"/>
      <c r="I108" s="25"/>
      <c r="J108" s="25"/>
      <c r="K108" s="25"/>
      <c r="L108" s="25"/>
      <c r="M108" s="25"/>
      <c r="N108" s="25"/>
      <c r="O108" s="25"/>
      <c r="P108" s="25"/>
      <c r="Q108" s="25"/>
      <c r="R108" s="25"/>
      <c r="S108" s="25"/>
      <c r="T108" s="25"/>
      <c r="U108" s="25"/>
      <c r="V108" s="25"/>
      <c r="W108" s="25"/>
      <c r="X108" s="25"/>
      <c r="Y108" s="47"/>
      <c r="Z108" s="23"/>
    </row>
    <row r="109" spans="1:26">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50"/>
    </row>
  </sheetData>
  <sheetProtection formatColumns="0" formatRows="0" autoFilter="0"/>
  <dataConsolidate/>
  <mergeCells count="32">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s>
  <phoneticPr fontId="32"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63</vt:i4>
      </vt:variant>
      <vt:variant>
        <vt:lpstr>Именованные диапазоны</vt:lpstr>
      </vt:variant>
      <vt:variant>
        <vt:i4>302</vt:i4>
      </vt:variant>
    </vt:vector>
  </HeadingPairs>
  <TitlesOfParts>
    <vt:vector size="365" baseType="lpstr">
      <vt:lpstr>modList00</vt:lpstr>
      <vt:lpstr>modHTTP</vt:lpstr>
      <vt:lpstr>modPreload</vt:lpstr>
      <vt:lpstr>modProvGeneralProc</vt:lpstr>
      <vt:lpstr>modReestr</vt:lpstr>
      <vt:lpstr>modList02</vt:lpstr>
      <vt:lpstr>modfrmReestrSource</vt:lpstr>
      <vt:lpstr>modProv</vt:lpstr>
      <vt:lpstr>Инструкция</vt:lpstr>
      <vt:lpstr>Лог обновления</vt:lpstr>
      <vt:lpstr>Пояснения</vt:lpstr>
      <vt:lpstr>Список листов</vt:lpstr>
      <vt:lpstr>Общие сведения</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Налоги</vt:lpstr>
      <vt:lpstr>ИП + источники</vt:lpstr>
      <vt:lpstr>Экономия_корр</vt:lpstr>
      <vt:lpstr>Плата за негативное возд</vt:lpstr>
      <vt:lpstr>Корректировка НВВ</vt:lpstr>
      <vt:lpstr>Калькуляция</vt:lpstr>
      <vt:lpstr>et_union</vt:lpstr>
      <vt:lpstr>ТМ</vt:lpstr>
      <vt:lpstr>ДПР</vt:lpstr>
      <vt:lpstr>ДПР (концессии)</vt:lpstr>
      <vt:lpstr>TEHSHEET</vt:lpstr>
      <vt:lpstr>Комментарии</vt:lpstr>
      <vt:lpstr>Проверка</vt:lpstr>
      <vt:lpstr>REESTR_MO</vt:lpstr>
      <vt:lpstr>REESTR_ORG</vt:lpstr>
      <vt:lpstr>REESTR_TARIFF</vt:lpstr>
      <vt:lpstr>REESTR_OBJECT</vt:lpstr>
      <vt:lpstr>modfrmDPR</vt:lpstr>
      <vt:lpstr>modfrmSelectTemplate</vt:lpstr>
      <vt:lpstr>DICTIONARIES</vt:lpstr>
      <vt:lpstr>modfrmRegion</vt:lpstr>
      <vt:lpstr>modfrmSelectTariff</vt:lpstr>
      <vt:lpstr>modCheckCyan</vt:lpstr>
      <vt:lpstr>modfrmActivity</vt:lpstr>
      <vt:lpstr>modfrmCheckUpdates</vt:lpstr>
      <vt:lpstr>modUpdTemplMain</vt:lpstr>
      <vt:lpstr>modThisWorkbook</vt:lpstr>
      <vt:lpstr>modInstruction</vt:lpstr>
      <vt:lpstr>AllSheetsInThisWorkbook</vt:lpstr>
      <vt:lpstr>modHyp</vt:lpstr>
      <vt:lpstr>modfrmReestr</vt:lpstr>
      <vt:lpstr>modList01</vt:lpstr>
      <vt:lpstr>modList05</vt:lpstr>
      <vt:lpstr>modList06</vt:lpstr>
      <vt:lpstr>modList09</vt:lpstr>
      <vt:lpstr>modList10</vt:lpstr>
      <vt:lpstr>modList11</vt:lpstr>
      <vt:lpstr>modList16</vt:lpstr>
      <vt:lpstr>modList18</vt:lpstr>
      <vt:lpstr>modList15</vt:lpstr>
      <vt:lpstr>modList17</vt:lpstr>
      <vt:lpstr>chkGetUpdatesValue</vt:lpstr>
      <vt:lpstr>chkNoUpdatesValue</vt:lpstr>
      <vt:lpstr>code</vt:lpstr>
      <vt:lpstr>COLDVSNA_TRANSP_VTOV</vt:lpstr>
      <vt:lpstr>COLDVSNA_VTARIFF</vt:lpstr>
      <vt:lpstr>COLDVSNA_VTOV</vt:lpstr>
      <vt:lpstr>DOCUMENT_TYPES</vt:lpstr>
      <vt:lpstr>dpr_list</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et_List12_tariff</vt:lpstr>
      <vt:lpstr>et_List13_tariff</vt:lpstr>
      <vt:lpstr>et_List14_tariff</vt:lpstr>
      <vt:lpstr>et_List15_1</vt:lpstr>
      <vt:lpstr>et_List15_or</vt:lpstr>
      <vt:lpstr>et_List15_tariff</vt:lpstr>
      <vt:lpstr>et_List16_line_d</vt:lpstr>
      <vt:lpstr>et_List16_line_o</vt:lpstr>
      <vt:lpstr>et_List16_line_transp</vt:lpstr>
      <vt:lpstr>et_List16_tariff</vt:lpstr>
      <vt:lpstr>et_List16_tariff_transp</vt:lpstr>
      <vt:lpstr>et_List17_tariff_vo</vt:lpstr>
      <vt:lpstr>et_List17_tariff_vs</vt:lpstr>
      <vt:lpstr>et_List18_block</vt:lpstr>
      <vt:lpstr>et_List18_tariff</vt:lpstr>
      <vt:lpstr>first_year</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last_year</vt:lpstr>
      <vt:lpstr>last_year_vis</vt:lpstr>
      <vt:lpstr>List00_check_area</vt:lpstr>
      <vt:lpstr>List00_del_tariff_range</vt:lpstr>
      <vt:lpstr>List00_LOAD_1</vt:lpstr>
      <vt:lpstr>List00_tariff_start</vt:lpstr>
      <vt:lpstr>List00_vis_flags</vt:lpstr>
      <vt:lpstr>List01_mo_column</vt:lpstr>
      <vt:lpstr>List01_mr_column</vt:lpstr>
      <vt:lpstr>List02_indicators2</vt:lpstr>
      <vt:lpstr>List02_LOAD_1</vt:lpstr>
      <vt:lpstr>List02_LOAD_2</vt:lpstr>
      <vt:lpstr>List02_LOAD_3</vt:lpstr>
      <vt:lpstr>List02_object_range</vt:lpstr>
      <vt:lpstr>List02_osn_ekpl_range</vt:lpstr>
      <vt:lpstr>List03_LOAD</vt:lpstr>
      <vt:lpstr>List03_LOAD_COM</vt:lpstr>
      <vt:lpstr>List03_vis_flags</vt:lpstr>
      <vt:lpstr>List03_vis_flags2</vt:lpstr>
      <vt:lpstr>List04_check_range1</vt:lpstr>
      <vt:lpstr>List04_LOAD_VO</vt:lpstr>
      <vt:lpstr>List04_LOAD_VO_COM</vt:lpstr>
      <vt:lpstr>List04_LOAD_VOTR</vt:lpstr>
      <vt:lpstr>List04_LOAD_VOTR_COM</vt:lpstr>
      <vt:lpstr>List04_LOAD_VS</vt:lpstr>
      <vt:lpstr>List04_LOAD_VS_COM</vt:lpstr>
      <vt:lpstr>List04_LOAD_VSTR</vt:lpstr>
      <vt:lpstr>List04_LOAD_VSTR_COM</vt:lpstr>
      <vt:lpstr>List04_vis_flags</vt:lpstr>
      <vt:lpstr>List04_vis_flags2</vt:lpstr>
      <vt:lpstr>List05_LOAD_1</vt:lpstr>
      <vt:lpstr>List05_LOAD_2</vt:lpstr>
      <vt:lpstr>List05_vis_flags</vt:lpstr>
      <vt:lpstr>List06_LOAD_1</vt:lpstr>
      <vt:lpstr>List06_LOAD_2</vt:lpstr>
      <vt:lpstr>List06_vis_flags</vt:lpstr>
      <vt:lpstr>List07_LOAD_1</vt:lpstr>
      <vt:lpstr>List07_LOAD_2</vt:lpstr>
      <vt:lpstr>List07_vis_flags</vt:lpstr>
      <vt:lpstr>List08_LOAD_1</vt:lpstr>
      <vt:lpstr>List08_LOAD_2</vt:lpstr>
      <vt:lpstr>List08_vis_flags</vt:lpstr>
      <vt:lpstr>List09_LOAD_1</vt:lpstr>
      <vt:lpstr>List09_LOAD_2</vt:lpstr>
      <vt:lpstr>List09_vis_flags</vt:lpstr>
      <vt:lpstr>List10_LOAD_1</vt:lpstr>
      <vt:lpstr>List10_LOAD_2</vt:lpstr>
      <vt:lpstr>List10_vis_flags</vt:lpstr>
      <vt:lpstr>List11_is_one_block</vt:lpstr>
      <vt:lpstr>List11_LOAD_1</vt:lpstr>
      <vt:lpstr>List11_LOAD_2</vt:lpstr>
      <vt:lpstr>List11_vis_flags</vt:lpstr>
      <vt:lpstr>List11_vis_flags2</vt:lpstr>
      <vt:lpstr>List12_LOAD_1</vt:lpstr>
      <vt:lpstr>List12_LOAD_2</vt:lpstr>
      <vt:lpstr>List12_vis_flags</vt:lpstr>
      <vt:lpstr>List13_LOAD_1</vt:lpstr>
      <vt:lpstr>List14_LOAD_1</vt:lpstr>
      <vt:lpstr>List14_LOAD_2</vt:lpstr>
      <vt:lpstr>List14_vis_flags</vt:lpstr>
      <vt:lpstr>List15_LOAD_1</vt:lpstr>
      <vt:lpstr>List15_LOAD_2</vt:lpstr>
      <vt:lpstr>List15_vis_flags</vt:lpstr>
      <vt:lpstr>List15_vis_flags2</vt:lpstr>
      <vt:lpstr>List16_LOAD_1</vt:lpstr>
      <vt:lpstr>List16_vis_flags</vt:lpstr>
      <vt:lpstr>List16_vis_flags2</vt:lpstr>
      <vt:lpstr>List17_check_range1</vt:lpstr>
      <vt:lpstr>List17_ee_divide</vt:lpstr>
      <vt:lpstr>List17_LOAD_1</vt:lpstr>
      <vt:lpstr>List17_vis_flags</vt:lpstr>
      <vt:lpstr>List17_vis_flags2</vt:lpstr>
      <vt:lpstr>List18_LOAD_1</vt:lpstr>
      <vt:lpstr>List18_vis_flags</vt:lpstr>
      <vt:lpstr>List18_vis_flags2</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onlyOneYear</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OwnNeedsInPO</vt:lpstr>
      <vt:lpstr>PERIOD</vt:lpstr>
      <vt:lpstr>PERIOD_LENGTH</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pIns_List12_tariff</vt:lpstr>
      <vt:lpstr>pIns_List13_tariff</vt:lpstr>
      <vt:lpstr>pIns_List14_tariff</vt:lpstr>
      <vt:lpstr>pIns_List15_tariff</vt:lpstr>
      <vt:lpstr>pIns_List16_tariff</vt:lpstr>
      <vt:lpstr>pIns_List16_tariff_transp</vt:lpstr>
      <vt:lpstr>pins_List17_tariff</vt:lpstr>
      <vt:lpstr>pins_List18_tariff</vt:lpstr>
      <vt:lpstr>plat_nds</vt:lpstr>
      <vt:lpstr>REESTR_OBJECT_LIST</vt:lpstr>
      <vt:lpstr>REESTR_ORG_RANGE</vt:lpstr>
      <vt:lpstr>REESTR_TARIFF_LIST</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subsidiary_list</vt:lpstr>
      <vt:lpstr>support_docs_1</vt:lpstr>
      <vt:lpstr>support_docs_2</vt:lpstr>
      <vt:lpstr>support_docs_3</vt:lpstr>
      <vt:lpstr>support_docs_4</vt:lpstr>
      <vt:lpstr>support_docs_5</vt:lpstr>
      <vt:lpstr>support_docs_6</vt:lpstr>
      <vt:lpstr>support_docs_7</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Амортизация!Заголовки_для_печати</vt:lpstr>
      <vt:lpstr>Аренда!Заголовки_для_печати</vt:lpstr>
      <vt:lpstr>Баланс!Заголовки_для_печати</vt:lpstr>
      <vt:lpstr>ДПР!Заголовки_для_печати</vt:lpstr>
      <vt:lpstr>'ДПР (концессии)'!Заголовки_для_печати</vt:lpstr>
      <vt:lpstr>'ИП + источники'!Заголовки_для_печати</vt:lpstr>
      <vt:lpstr>Калькуляция!Заголовки_для_печати</vt:lpstr>
      <vt:lpstr>'Корректировка НВВ'!Заголовки_для_печати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Экономия_корр!Заголовки_для_печати</vt:lpstr>
      <vt:lpstr>ЭЭ!Заголовки_для_печати</vt:lpstr>
      <vt:lpstr>'Общие сведения'!Область_печати</vt:lpstr>
    </vt:vector>
  </TitlesOfParts>
  <Manager/>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индексации (корректировка)</dc:title>
  <dc:subject>Экспертное заключение об установлении тарифов в сфере холодного водоснабжения/водоотведения методом индексации (корректировка)</dc:subject>
  <dc:creator>user</dc:creator>
  <dc:description/>
  <cp:lastModifiedBy>Мизурева Наталья Евгеньевна</cp:lastModifiedBy>
  <cp:lastPrinted>2023-12-26T05:58:59Z</cp:lastPrinted>
  <dcterms:created xsi:type="dcterms:W3CDTF">2004-05-21T07:18:45Z</dcterms:created>
  <dcterms:modified xsi:type="dcterms:W3CDTF">2023-12-26T05:58:59Z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EXPERT.VSVO.INDEX.CORR</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4.2</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